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externalLinks/externalLink1.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46" documentId="8_{05861577-FF77-4BE3-B48C-5B535DBAF095}" xr6:coauthVersionLast="47" xr6:coauthVersionMax="47" xr10:uidLastSave="{9BD5CE0A-A9C1-49D3-A17C-0E333F85ACE6}"/>
  <bookViews>
    <workbookView xWindow="28680" yWindow="-300" windowWidth="29040" windowHeight="17520" xr2:uid="{4D9C8545-2819-4B31-9DA7-5354723C94AE}"/>
  </bookViews>
  <sheets>
    <sheet name="I1_Erläuterung" sheetId="4" r:id="rId1"/>
    <sheet name="E1_Projektdaten" sheetId="9" r:id="rId2"/>
    <sheet name="E2_Wärmepreis" sheetId="6" r:id="rId3"/>
    <sheet name="E3_Verbraucher" sheetId="15" r:id="rId4"/>
    <sheet name="B1_Berechnungen" sheetId="8" r:id="rId5"/>
    <sheet name="A1_Ergebnisse" sheetId="16" r:id="rId6"/>
    <sheet name="A2_Planerfolgsrechnung" sheetId="20" r:id="rId7"/>
    <sheet name="A9_NPV-Daten" sheetId="14" r:id="rId8"/>
  </sheets>
  <externalReferences>
    <externalReference r:id="rId9"/>
  </externalReferences>
  <definedNames>
    <definedName name="Anteil_fossil_erzeugt">E1_Projektdaten!$D$32</definedName>
    <definedName name="Anteil_Invest_E1">E1_Projektdaten!$F$83</definedName>
    <definedName name="Anteil_InvestTotal_E1">E1_Projektdaten!$I$83</definedName>
    <definedName name="Anteil_InvestTotal_E2">E1_Projektdaten!$I$84</definedName>
    <definedName name="Anteil_InvestTotal_E3">E1_Projektdaten!$I$85</definedName>
    <definedName name="Anteil_InvestTotal_E4">E1_Projektdaten!$I$86</definedName>
    <definedName name="Anteil_InvestTotal_E5">E1_Projektdaten!$I$87</definedName>
    <definedName name="BetriebskostenTotal">B1_Berechnungen!$F$15</definedName>
    <definedName name="BrennstoffkostenBiomasse">B1_Berechnungen!$F$16</definedName>
    <definedName name="_xlnm.Print_Area" localSheetId="5">A1_Ergebnisse!$B$1:$M$60</definedName>
    <definedName name="_xlnm.Print_Area" localSheetId="4">B1_Berechnungen!$B$1:$AS$68</definedName>
    <definedName name="_xlnm.Print_Area" localSheetId="1">E1_Projektdaten!$B$1:$R$164</definedName>
    <definedName name="_xlnm.Print_Area" localSheetId="2">E2_Wärmepreis!$B$1:$I$49</definedName>
    <definedName name="_xlnm.Print_Area" localSheetId="3">E3_Verbraucher!$B$1:$GB$30</definedName>
    <definedName name="_xlnm.Print_Titles" localSheetId="1">E1_Projektdaten!$1:$2</definedName>
    <definedName name="_xlnm.Print_Titles" localSheetId="3">E3_Verbraucher!$B:$C</definedName>
    <definedName name="_xlnm.Print_Titles" localSheetId="0">I1_Erläuterung!$3:$3</definedName>
    <definedName name="Eigenverbrauch_HE">E1_Projektdaten!$D$133</definedName>
    <definedName name="Eigenverbrauch_WP">E1_Projektdaten!$D$132</definedName>
    <definedName name="Eing_Abnehmerart1">E2_Wärmepreis!$D$14</definedName>
    <definedName name="Eing_Abnehmerart2">E2_Wärmepreis!$D$20</definedName>
    <definedName name="Eing_Abnehmerart3">E2_Wärmepreis!$D$26</definedName>
    <definedName name="Eing_Abnehmerart4">E2_Wärmepreis!$D$32</definedName>
    <definedName name="Eing_Abnehmerart5">E2_Wärmepreis!$D$38</definedName>
    <definedName name="Eing_Abnehmerart6">E2_Wärmepreis!$D$44</definedName>
    <definedName name="Eing_AbnW">E1_Projektdaten!$D$20</definedName>
    <definedName name="Eing_Administration">E1_Projektdaten!$D$55</definedName>
    <definedName name="Eing_allg_Teuerung">E1_Projektdaten!$D$61</definedName>
    <definedName name="Eing_Anteil_AWN">E1_Projektdaten!$D$31</definedName>
    <definedName name="Eing_Anteil_Biomasse">E1_Projektdaten!$D$26</definedName>
    <definedName name="Eing_Anteil_Invest_E2">E1_Projektdaten!$F$84</definedName>
    <definedName name="Eing_Anteil_Invest_E3">E1_Projektdaten!$F$85</definedName>
    <definedName name="Eing_Anteil_Invest_E4">E1_Projektdaten!$F$86</definedName>
    <definedName name="Eing_Anteil_Invest_E5">E1_Projektdaten!$F$87</definedName>
    <definedName name="Eing_Anteil_Kondensation">E1_Projektdaten!$D$27</definedName>
    <definedName name="Eing_Anteil_WKK">E1_Projektdaten!$D$28</definedName>
    <definedName name="Eing_Anteil_WP">E1_Projektdaten!$D$29</definedName>
    <definedName name="Eing_Anteil_Zusatz">E1_Projektdaten!$D$30</definedName>
    <definedName name="Eing_AnteilEigen_Hilfsenergie">E1_Projektdaten!$D$40</definedName>
    <definedName name="Eing_AnteilEigen_WP">E1_Projektdaten!$D$38</definedName>
    <definedName name="Eing_Arbeitspreis1">E2_Wärmepreis!$G$16</definedName>
    <definedName name="Eing_Arbeitspreis2">E2_Wärmepreis!$G$22</definedName>
    <definedName name="Eing_Arbeitspreis3">E2_Wärmepreis!$G$28</definedName>
    <definedName name="Eing_Arbeitspreis4">E2_Wärmepreis!$G$34</definedName>
    <definedName name="Eing_Arbeitspreis5">E2_Wärmepreis!$G$40</definedName>
    <definedName name="Eing_Arbeitspreis6">E2_Wärmepreis!$G$46</definedName>
    <definedName name="Eing_Beginnjahr">E1_Projektdaten!$D$22</definedName>
    <definedName name="Eing_Betriebskosten">E1_Projektdaten!$D$56</definedName>
    <definedName name="Eing_Brennstoffpreis_WKK">E1_Projektdaten!$D$45</definedName>
    <definedName name="Eing_Eigenkapital">E1_Projektdaten!$D$89</definedName>
    <definedName name="Eing_Erstauszahlung_jährlFörderung_1">E1_Projektdaten!$D$117</definedName>
    <definedName name="Eing_Erstauszahlung_jährlFörderung_2">E1_Projektdaten!$D$120</definedName>
    <definedName name="Eing_Förderung_wiederholend_Laufzeit_1">E1_Projektdaten!$D$116</definedName>
    <definedName name="Eing_Förderung_wiederholend_Laufzeit_2">E1_Projektdaten!$D$119</definedName>
    <definedName name="Eing_Invest_AWN">E1_Projektdaten!$D$74</definedName>
    <definedName name="Eing_Invest_Grundstück">[1]E1_Projektdaten!$D$55</definedName>
    <definedName name="Eing_Invest_Hausstationen">E1_Projektdaten!$D$79</definedName>
    <definedName name="Eing_Invest_HolzAnlage">E1_Projektdaten!$D$69</definedName>
    <definedName name="Eing_Invest_Installationen">E1_Projektdaten!$D$76</definedName>
    <definedName name="Eing_Invest_Messung">E1_Projektdaten!$D$78</definedName>
    <definedName name="Eing_Invest_SondenGrundwasser">E1_Projektdaten!$D$72</definedName>
    <definedName name="Eing_Invest_Spitzenlast">E1_Projektdaten!$D$75</definedName>
    <definedName name="Eing_Invest_Wärmenetz">E1_Projektdaten!$D$77</definedName>
    <definedName name="Eing_Invest_WKKAnlage">E1_Projektdaten!$D$70</definedName>
    <definedName name="Eing_Invest_WPAnlage">E1_Projektdaten!$D$71</definedName>
    <definedName name="Eing_Invest_Zusatz">E1_Projektdaten!$D$73</definedName>
    <definedName name="Eing_JahrBegWLief">E1_Projektdaten!$D$23</definedName>
    <definedName name="Eing_Jahresnutzungsgrad_Kessel">E1_Projektdaten!$D$37</definedName>
    <definedName name="Eing_Jahresnutzungsgrad_WKKel">E1_Projektdaten!$D$34</definedName>
    <definedName name="Eing_Jahresnutzungsgrad_WKKtherm">E1_Projektdaten!$D$33</definedName>
    <definedName name="Eing_Jahresnutzungsgrad_Zusatz">E1_Projektdaten!$D$35</definedName>
    <definedName name="Eing_jährlicher_Förderbeitrag_1">E1_Projektdaten!$D$115</definedName>
    <definedName name="Eing_jährlicher_Förderbeitrag_2">E1_Projektdaten!$D$118</definedName>
    <definedName name="Eing_JAZ_WP">E1_Projektdaten!$D$36</definedName>
    <definedName name="Eing_Kosten_Bau">E1_Projektdaten!$D$68</definedName>
    <definedName name="Eing_Kosten_Grundstück">E1_Projektdaten!$D$59</definedName>
    <definedName name="Eing_Kosten_Planung_QM">E1_Projektdaten!$D$80</definedName>
    <definedName name="Eing_Kredit_1">E1_Projektdaten!$D$93</definedName>
    <definedName name="Eing_Kredit_2">E1_Projektdaten!$D$100</definedName>
    <definedName name="Eing_Kreditlaufzeit_1">E1_Projektdaten!$D$94</definedName>
    <definedName name="Eing_Kreditlaufzeit_2">E1_Projektdaten!$D$101</definedName>
    <definedName name="Eing_Kreditstartjahr_1">E1_Projektdaten!$D$95</definedName>
    <definedName name="Eing_Kreditstartjahr_2">E1_Projektdaten!$D$102</definedName>
    <definedName name="Eing_Kreditzinssatz_1">E1_Projektdaten!$D$97</definedName>
    <definedName name="Eing_Kreditzinssatz_2">E1_Projektdaten!$D$104</definedName>
    <definedName name="Eing_Leistungspreis1">E2_Wärmepreis!$G$15</definedName>
    <definedName name="Eing_Leistungspreis2">E2_Wärmepreis!$G$21</definedName>
    <definedName name="Eing_Leistungspreis3">E2_Wärmepreis!$G$27</definedName>
    <definedName name="Eing_Leistungspreis4">E2_Wärmepreis!$G$33</definedName>
    <definedName name="Eing_Leistungspreis5">E2_Wärmepreis!$G$39</definedName>
    <definedName name="Eing_Leistungspreis6">E2_Wärmepreis!$G$45</definedName>
    <definedName name="Eing_Netzverluste">E1_Projektdaten!$D$19</definedName>
    <definedName name="Eing_Nominalzins">E1_Projektdaten!$D$62</definedName>
    <definedName name="Eing_Nutzungsdauer_AWN">E1_Projektdaten!$I$74</definedName>
    <definedName name="Eing_Nutzungsdauer_Bau">E1_Projektdaten!$I$68</definedName>
    <definedName name="Eing_Nutzungsdauer_Hausstationen">E1_Projektdaten!$I$79</definedName>
    <definedName name="Eing_Nutzungsdauer_Holz">E1_Projektdaten!$I$69</definedName>
    <definedName name="Eing_Nutzungsdauer_Installationen">E1_Projektdaten!$I$76</definedName>
    <definedName name="Eing_Nutzungsdauer_Messung">E1_Projektdaten!$I$78</definedName>
    <definedName name="Eing_Nutzungsdauer_Netz">E1_Projektdaten!$I$77</definedName>
    <definedName name="Eing_Nutzungsdauer_Planung">E1_Projektdaten!$I$80</definedName>
    <definedName name="Eing_Nutzungsdauer_SondenGW">E1_Projektdaten!$I$72</definedName>
    <definedName name="Eing_Nutzungsdauer_Spitzenlast">E1_Projektdaten!$I$75</definedName>
    <definedName name="Eing_Nutzungsdauer_WKK">E1_Projektdaten!$I$70</definedName>
    <definedName name="Eing_Nutzungsdauer_WP">E1_Projektdaten!$I$71</definedName>
    <definedName name="Eing_Nutzungsdauer_Zusatz">E1_Projektdaten!$I$73</definedName>
    <definedName name="Eing_Preis_AWN">E1_Projektdaten!$D$50</definedName>
    <definedName name="Eing_Preis_Zusatz">E1_Projektdaten!$D$46</definedName>
    <definedName name="Eing_Prod_Pflanzenkohle">E1_Projektdaten!$D$41</definedName>
    <definedName name="Eing_Realzins">E1_Projektdaten!$D$63</definedName>
    <definedName name="Eing_Rohstoffpreis_Biomasse">E1_Projektdaten!$D$44</definedName>
    <definedName name="Eing_Rohstoffpreis_fossil">E1_Projektdaten!$D$47</definedName>
    <definedName name="Eing_Sonstige_Kosten">E1_Projektdaten!$D$60</definedName>
    <definedName name="Eing_Spez_Stromverbrauch">E1_Projektdaten!$D$39</definedName>
    <definedName name="Eing_spezUnterhalt_AWN">E1_Projektdaten!$F$74</definedName>
    <definedName name="Eing_spezUnterhalt_Bau">E1_Projektdaten!$F$68</definedName>
    <definedName name="Eing_spezUnterhalt_Hausstationen">E1_Projektdaten!$F$79</definedName>
    <definedName name="Eing_spezUnterhalt_Holz">E1_Projektdaten!$F$69</definedName>
    <definedName name="Eing_spezUnterhalt_Installationen">E1_Projektdaten!$F$76</definedName>
    <definedName name="Eing_spezUnterhalt_Messung">E1_Projektdaten!$F$78</definedName>
    <definedName name="Eing_spezUnterhalt_Netz">E1_Projektdaten!$F$77</definedName>
    <definedName name="Eing_spezUnterhalt_Planung">E1_Projektdaten!$F$80</definedName>
    <definedName name="Eing_spezUnterhalt_SondenGW">E1_Projektdaten!$F$72</definedName>
    <definedName name="Eing_spezUnterhalt_Spitzenlast">E1_Projektdaten!$F$75</definedName>
    <definedName name="Eing_spezUnterhalt_WKK">E1_Projektdaten!$F$70</definedName>
    <definedName name="Eing_spezUnterhalt_WP">E1_Projektdaten!$F$71</definedName>
    <definedName name="Eing_spezUnterhalt_Zusatz">E1_Projektdaten!$F$73</definedName>
    <definedName name="Eing_StartAmortisation_Kredit1">E1_Projektdaten!$D$96</definedName>
    <definedName name="Eing_StartAmortisation_Kredit2">E1_Projektdaten!$D$103</definedName>
    <definedName name="Eing_Strompreis">E1_Projektdaten!$D$48</definedName>
    <definedName name="Eing_Strompreis_Einspeisung">E1_Projektdaten!$D$51</definedName>
    <definedName name="Eing_Strompreis_WP">E1_Projektdaten!$D$49</definedName>
    <definedName name="Eing_Unterhaltskosten">E1_Projektdaten!$D$57</definedName>
    <definedName name="Eing_Verkaufspreis_Pflanzenkohle">E1_Projektdaten!$D$52</definedName>
    <definedName name="Eing_Vertragslaufzeit1">E2_Wärmepreis!$G$17</definedName>
    <definedName name="Eing_Vertragslaufzeit2">E2_Wärmepreis!$G$23</definedName>
    <definedName name="Eing_Vertragslaufzeit3">E2_Wärmepreis!$G$29</definedName>
    <definedName name="Eing_Vertragslaufzeit4">E2_Wärmepreis!$G$35</definedName>
    <definedName name="Eing_Vertragslaufzeit5">E2_Wärmepreis!$G$41</definedName>
    <definedName name="Eing_Vertragslaufzeit6">E2_Wärmepreis!$G$47</definedName>
    <definedName name="Einmaliger_Förderbeitrag_1">E1_Projektdaten!$D$108</definedName>
    <definedName name="Einmaliger_Förderbeitrag_2">E1_Projektdaten!$D$110</definedName>
    <definedName name="Einmaliger_Förderbeitrag_3">E1_Projektdaten!$D$112</definedName>
    <definedName name="Endenergie_fossil">E1_Projektdaten!$D$130</definedName>
    <definedName name="Endenergie_Zusatz">E1_Projektdaten!$D$128</definedName>
    <definedName name="Energiekosten_AWN">E1_Projektdaten!$D$143</definedName>
    <definedName name="Energiekosten_fossil">E1_Projektdaten!$D$144</definedName>
    <definedName name="Energiekosten_Holzschnitzel">E1_Projektdaten!$D$140</definedName>
    <definedName name="Energiekosten_WKK">E1_Projektdaten!$D$141</definedName>
    <definedName name="Energiekosten_Zusatz">E1_Projektdaten!$D$142</definedName>
    <definedName name="EnergiekostenTotal">E1_Projektdaten!$D$159</definedName>
    <definedName name="Erg_Wärmepreis" localSheetId="6">A2_Planerfolgsrechnung!$J$12</definedName>
    <definedName name="Erg_Wärmepreis">A1_Ergebnisse!$Q$11</definedName>
    <definedName name="Ergebnisblatt_Projekttitel">B1_Berechnungen!$D$6</definedName>
    <definedName name="Erstauszahlung_jährlFörderung">E1_Projektdaten!$D$117</definedName>
    <definedName name="Ertrag_Pflanzenkohle">E1_Projektdaten!$D$149</definedName>
    <definedName name="Ertrag_Strom_Pflanzenkohle">E1_Projektdaten!$D$160</definedName>
    <definedName name="Ertrag_Stromeinspeisung">E1_Projektdaten!$D$148</definedName>
    <definedName name="Förderung_kapitalisiert">E1_Projektdaten!$D$162</definedName>
    <definedName name="Förderungsauszahlung_1">E1_Projektdaten!$D$109</definedName>
    <definedName name="Förderungsauszahlung_2">E1_Projektdaten!$D$111</definedName>
    <definedName name="Förderungsauszahlung_3">E1_Projektdaten!$D$113</definedName>
    <definedName name="Gesamte_Investitionskosten">E1_Projektdaten!$D$151</definedName>
    <definedName name="Gesamtinvestition">E1_Projektdaten!$D$81</definedName>
    <definedName name="Gesamtsumme_Förderung">E1_Projektdaten!$D$152</definedName>
    <definedName name="Gewbl_Wärmemenge">E2_Wärmepreis!$G$20</definedName>
    <definedName name="Grundpreis">E2_Wärmepreis!$G$15</definedName>
    <definedName name="I1_100">I1_Erläuterung!$A$7</definedName>
    <definedName name="I1_101">I1_Erläuterung!$A$8</definedName>
    <definedName name="I1_101a">I1_Erläuterung!$A$9</definedName>
    <definedName name="I1_101b">I1_Erläuterung!$A$10</definedName>
    <definedName name="I1_101c">I1_Erläuterung!$A$11</definedName>
    <definedName name="I1_101d">I1_Erläuterung!$A$12</definedName>
    <definedName name="I1_101e">I1_Erläuterung!$A$13</definedName>
    <definedName name="I1_101k">I1_Erläuterung!$A$14</definedName>
    <definedName name="I1_105">I1_Erläuterung!$A$15</definedName>
    <definedName name="I1_106">I1_Erläuterung!$A$16</definedName>
    <definedName name="I1_107">I1_Erläuterung!$A$17</definedName>
    <definedName name="I1_108">I1_Erläuterung!$A$18</definedName>
    <definedName name="I1_110">I1_Erläuterung!$A$19</definedName>
    <definedName name="I1_110a">I1_Erläuterung!$A$20</definedName>
    <definedName name="I1_110b">I1_Erläuterung!$A$21</definedName>
    <definedName name="i1_110c">I1_Erläuterung!$A$22</definedName>
    <definedName name="I1_110g">I1_Erläuterung!$A$23</definedName>
    <definedName name="I1_110h">I1_Erläuterung!$A$24</definedName>
    <definedName name="I1_115">I1_Erläuterung!$A$25</definedName>
    <definedName name="I1_115a">I1_Erläuterung!$A$27</definedName>
    <definedName name="I1_115b">I1_Erläuterung!$A$28</definedName>
    <definedName name="I1_115c">I1_Erläuterung!$A$29</definedName>
    <definedName name="I1_115d">I1_Erläuterung!$A$30</definedName>
    <definedName name="I1_115e">I1_Erläuterung!$A$31</definedName>
    <definedName name="I1_115f">I1_Erläuterung!$A$32</definedName>
    <definedName name="I1_115g">I1_Erläuterung!$A$33</definedName>
    <definedName name="I1_115l">I1_Erläuterung!$A$34</definedName>
    <definedName name="I1_115m">I1_Erläuterung!$A$35</definedName>
    <definedName name="I1_115n">I1_Erläuterung!$A$36</definedName>
    <definedName name="I1_115o">I1_Erläuterung!$A$37</definedName>
    <definedName name="I1_115q">I1_Erläuterung!$A$38</definedName>
    <definedName name="I1_115u">I1_Erläuterung!$A$39</definedName>
    <definedName name="I1_115v">I1_Erläuterung!$A$40</definedName>
    <definedName name="I1_115w">I1_Erläuterung!$A$41</definedName>
    <definedName name="I1_115x">I1_Erläuterung!$A$42</definedName>
    <definedName name="I1_120">I1_Erläuterung!$A$43</definedName>
    <definedName name="I1_120a">I1_Erläuterung!$A$44</definedName>
    <definedName name="I1_120c">I1_Erläuterung!$A$45</definedName>
    <definedName name="I1_120d">I1_Erläuterung!$A$46</definedName>
    <definedName name="I1_120e">I1_Erläuterung!$A$47</definedName>
    <definedName name="I1_120f">I1_Erläuterung!$A$48</definedName>
    <definedName name="I1_120g">I1_Erläuterung!$A$49</definedName>
    <definedName name="I1_120j">I1_Erläuterung!$A$50</definedName>
    <definedName name="I1_120m">I1_Erläuterung!$A$51</definedName>
    <definedName name="I1_120n">I1_Erläuterung!$A$52</definedName>
    <definedName name="I1_125">I1_Erläuterung!$A$53</definedName>
    <definedName name="I1_125a">I1_Erläuterung!$A$54</definedName>
    <definedName name="I1_125b">I1_Erläuterung!$A$55</definedName>
    <definedName name="I1_125c">I1_Erläuterung!$A$56</definedName>
    <definedName name="I1_125g">I1_Erläuterung!$A$57</definedName>
    <definedName name="I1_125h">I1_Erläuterung!$A$58</definedName>
    <definedName name="I1_125m">I1_Erläuterung!$A$59</definedName>
    <definedName name="I1_125n">I1_Erläuterung!$A$60</definedName>
    <definedName name="I1_125o">I1_Erläuterung!$A$61</definedName>
    <definedName name="I1_140">I1_Erläuterung!$A$62</definedName>
    <definedName name="I1_141">I1_Erläuterung!$A$63</definedName>
    <definedName name="I1_142">I1_Erläuterung!$A$64</definedName>
    <definedName name="I1_143">I1_Erläuterung!$A$65</definedName>
    <definedName name="I1_145">I1_Erläuterung!$A$66</definedName>
    <definedName name="I1_145a">I1_Erläuterung!$A$67</definedName>
    <definedName name="I1_145b">I1_Erläuterung!$A$68</definedName>
    <definedName name="I1_145c">I1_Erläuterung!$A$69</definedName>
    <definedName name="I1_145d">I1_Erläuterung!$A$70</definedName>
    <definedName name="I1_145e">I1_Erläuterung!$A$71</definedName>
    <definedName name="I1_145f">I1_Erläuterung!$A$72</definedName>
    <definedName name="I1_145g">I1_Erläuterung!$A$73</definedName>
    <definedName name="I1_145h">I1_Erläuterung!$A$74</definedName>
    <definedName name="I1_145i">I1_Erläuterung!$A$75</definedName>
    <definedName name="I1_145j">I1_Erläuterung!$A$76</definedName>
    <definedName name="I1_145k">I1_Erläuterung!$A$78</definedName>
    <definedName name="I1_145l">I1_Erläuterung!$A$79</definedName>
    <definedName name="I1_145m">I1_Erläuterung!$A$80</definedName>
    <definedName name="I1_145z">I1_Erläuterung!$A$81</definedName>
    <definedName name="I1_150">I1_Erläuterung!$A$82</definedName>
    <definedName name="I1_150a">I1_Erläuterung!$A$83</definedName>
    <definedName name="I1_150b">I1_Erläuterung!$A$84</definedName>
    <definedName name="I1_151">I1_Erläuterung!$A$85</definedName>
    <definedName name="I1_155">I1_Erläuterung!$A$86</definedName>
    <definedName name="I1_156">I1_Erläuterung!$A$87</definedName>
    <definedName name="I1_160">I1_Erläuterung!$A$88</definedName>
    <definedName name="I1_160a">I1_Erläuterung!$A$89</definedName>
    <definedName name="I1_160b">I1_Erläuterung!$A$90</definedName>
    <definedName name="I1_160c">I1_Erläuterung!$A$91</definedName>
    <definedName name="I1_160d">I1_Erläuterung!$A$92</definedName>
    <definedName name="I1_160e">I1_Erläuterung!$A$93</definedName>
    <definedName name="I1_165">I1_Erläuterung!$A$94</definedName>
    <definedName name="I1_166">I1_Erläuterung!$A$95</definedName>
    <definedName name="I1_166a">I1_Erläuterung!$A$96</definedName>
    <definedName name="I1_166b">I1_Erläuterung!$A$97</definedName>
    <definedName name="I1_167">I1_Erläuterung!$A$98</definedName>
    <definedName name="I1_167a">I1_Erläuterung!$A$99</definedName>
    <definedName name="I1_167b">I1_Erläuterung!$A$100</definedName>
    <definedName name="I1_167c">I1_Erläuterung!$A$101</definedName>
    <definedName name="I1_170">I1_Erläuterung!$A$102</definedName>
    <definedName name="I1_170a">I1_Erläuterung!$A$103</definedName>
    <definedName name="I1_170b">I1_Erläuterung!$A$104</definedName>
    <definedName name="I1_170c">I1_Erläuterung!$A$105</definedName>
    <definedName name="I1_170d">I1_Erläuterung!$A$106</definedName>
    <definedName name="I1_170e">I1_Erläuterung!$A$107</definedName>
    <definedName name="I1_170f">I1_Erläuterung!$A$108</definedName>
    <definedName name="I1_170g">I1_Erläuterung!$A$109</definedName>
    <definedName name="I1_170h">I1_Erläuterung!$A$110</definedName>
    <definedName name="I1_170i">I1_Erläuterung!$A$111</definedName>
    <definedName name="I1_170j">I1_Erläuterung!$A$112</definedName>
    <definedName name="I1_170k">I1_Erläuterung!$A$113</definedName>
    <definedName name="I1_170l">I1_Erläuterung!$A$114</definedName>
    <definedName name="I1_170m">I1_Erläuterung!$A$115</definedName>
    <definedName name="I1_170n">I1_Erläuterung!$A$116</definedName>
    <definedName name="I1_175">I1_Erläuterung!$A$117</definedName>
    <definedName name="I1_175a">I1_Erläuterung!$A$118</definedName>
    <definedName name="I1_175b">I1_Erläuterung!$A$119</definedName>
    <definedName name="I1_175c">I1_Erläuterung!$A$120</definedName>
    <definedName name="I1_175d">I1_Erläuterung!$A$121</definedName>
    <definedName name="I1_175e">I1_Erläuterung!$A$122</definedName>
    <definedName name="I1_175f">I1_Erläuterung!$A$123</definedName>
    <definedName name="I1_175h">I1_Erläuterung!$A$124</definedName>
    <definedName name="I1_177">I1_Erläuterung!$A$125</definedName>
    <definedName name="I1_177a">I1_Erläuterung!$A$126</definedName>
    <definedName name="I1_177b">I1_Erläuterung!$A$127</definedName>
    <definedName name="I1_179">I1_Erläuterung!$A$128</definedName>
    <definedName name="I1_190">I1_Erläuterung!$A$129</definedName>
    <definedName name="I1_190a">I1_Erläuterung!$A$130</definedName>
    <definedName name="I1_190b">I1_Erläuterung!$A$131</definedName>
    <definedName name="I1_190c">I1_Erläuterung!$A$132</definedName>
    <definedName name="I1_190d">I1_Erläuterung!$A$133</definedName>
    <definedName name="I1_190e">I1_Erläuterung!$A$134</definedName>
    <definedName name="I1_190f">I1_Erläuterung!$A$135</definedName>
    <definedName name="I1_190g">I1_Erläuterung!$A$136</definedName>
    <definedName name="I1_190h">I1_Erläuterung!$A$137</definedName>
    <definedName name="I1_190i">I1_Erläuterung!$A$138</definedName>
    <definedName name="I1_200">I1_Erläuterung!$A$140</definedName>
    <definedName name="I1_206">I1_Erläuterung!$A$142</definedName>
    <definedName name="I1_207">I1_Erläuterung!$A$143</definedName>
    <definedName name="I1_21?a">I1_Erläuterung!$A$146</definedName>
    <definedName name="I1_21?b">I1_Erläuterung!$A$147</definedName>
    <definedName name="I1_21?c">I1_Erläuterung!$A$148</definedName>
    <definedName name="I1_210">I1_Erläuterung!$A$144</definedName>
    <definedName name="I1_211ff">I1_Erläuterung!$A$145</definedName>
    <definedName name="I1_300">I1_Erläuterung!$A$150</definedName>
    <definedName name="I1_310">I1_Erläuterung!$A$151</definedName>
    <definedName name="I1_311">I1_Erläuterung!$A$152</definedName>
    <definedName name="I1_312">I1_Erläuterung!$A$153</definedName>
    <definedName name="I1_320">I1_Erläuterung!$A$154</definedName>
    <definedName name="I1_321">I1_Erläuterung!$A$155</definedName>
    <definedName name="I1_322">I1_Erläuterung!$A$156</definedName>
    <definedName name="I1_323">I1_Erläuterung!$A$157</definedName>
    <definedName name="I1_324">I1_Erläuterung!$A$158</definedName>
    <definedName name="I1_325">I1_Erläuterung!$A$159</definedName>
    <definedName name="I1_326">I1_Erläuterung!$A$160</definedName>
    <definedName name="I1_330">I1_Erläuterung!$A$161</definedName>
    <definedName name="I1_331">I1_Erläuterung!$A$162</definedName>
    <definedName name="I1_332">I1_Erläuterung!$A$163</definedName>
    <definedName name="I1_333">I1_Erläuterung!$A$164</definedName>
    <definedName name="I1_334">I1_Erläuterung!$A$165</definedName>
    <definedName name="I1_335">I1_Erläuterung!$A$166</definedName>
    <definedName name="I1_500">I1_Erläuterung!$A$168</definedName>
    <definedName name="I1_501">I1_Erläuterung!$A$169</definedName>
    <definedName name="I1_505">I1_Erläuterung!$A$170</definedName>
    <definedName name="I1_506">I1_Erläuterung!$A$171</definedName>
    <definedName name="I1_510">I1_Erläuterung!$A$172</definedName>
    <definedName name="I1_510a">I1_Erläuterung!$A$173</definedName>
    <definedName name="I1_510b">I1_Erläuterung!$A$174</definedName>
    <definedName name="I1_510c">I1_Erläuterung!$A$175</definedName>
    <definedName name="I1_510d">I1_Erläuterung!$A$176</definedName>
    <definedName name="I1_510e">I1_Erläuterung!$A$177</definedName>
    <definedName name="I1_510f">I1_Erläuterung!$A$178</definedName>
    <definedName name="I1_510g">I1_Erläuterung!$A$179</definedName>
    <definedName name="I1_510h">I1_Erläuterung!$A$180</definedName>
    <definedName name="I1_510i">I1_Erläuterung!$A$181</definedName>
    <definedName name="I1_510j">I1_Erläuterung!$A$182</definedName>
    <definedName name="I1_510k">I1_Erläuterung!$A$183</definedName>
    <definedName name="I1_510l">I1_Erläuterung!$A$184</definedName>
    <definedName name="I1_510q">I1_Erläuterung!$A$185</definedName>
    <definedName name="I1_510r">I1_Erläuterung!$A$186</definedName>
    <definedName name="I1_510w">I1_Erläuterung!$A$187</definedName>
    <definedName name="I1_511">I1_Erläuterung!$A$188</definedName>
    <definedName name="I1_530">I1_Erläuterung!$A$189</definedName>
    <definedName name="I1_531">I1_Erläuterung!$A$190</definedName>
    <definedName name="I1_532">I1_Erläuterung!$A$191</definedName>
    <definedName name="I1_533">I1_Erläuterung!$A$192</definedName>
    <definedName name="I1_541">I1_Erläuterung!$A$193</definedName>
    <definedName name="I1_542">I1_Erläuterung!$A$194</definedName>
    <definedName name="I1_543">I1_Erläuterung!$A$195</definedName>
    <definedName name="I1_544">I1_Erläuterung!$A$196</definedName>
    <definedName name="I1_551">I1_Erläuterung!$A$197</definedName>
    <definedName name="I1_552">I1_Erläuterung!$A$198</definedName>
    <definedName name="I1_555">I1_Erläuterung!$A$199</definedName>
    <definedName name="I1_559">I1_Erläuterung!#REF!</definedName>
    <definedName name="I1_561">I1_Erläuterung!$A$200</definedName>
    <definedName name="I1_562">I1_Erläuterung!$A$201</definedName>
    <definedName name="I1_563">I1_Erläuterung!$A$202</definedName>
    <definedName name="I1_564">I1_Erläuterung!$A$203</definedName>
    <definedName name="I1_566">I1_Erläuterung!$A$204</definedName>
    <definedName name="I1_567">I1_Erläuterung!$A$205</definedName>
    <definedName name="I1_569">I1_Erläuterung!$A$206</definedName>
    <definedName name="I1_571a">I1_Erläuterung!$A$207</definedName>
    <definedName name="I1_571b">I1_Erläuterung!$A$208</definedName>
    <definedName name="I1_571c">I1_Erläuterung!$A$209</definedName>
    <definedName name="I1_571d">I1_Erläuterung!$A$210</definedName>
    <definedName name="I1_571e">I1_Erläuterung!$A$211</definedName>
    <definedName name="I1_572a">I1_Erläuterung!$A$212</definedName>
    <definedName name="I1_572b">I1_Erläuterung!$A$213</definedName>
    <definedName name="I1_574a">I1_Erläuterung!$A$214</definedName>
    <definedName name="I1_574b">I1_Erläuterung!$A$215</definedName>
    <definedName name="I1_575">I1_Erläuterung!$A$216</definedName>
    <definedName name="I1_576">I1_Erläuterung!$A$217</definedName>
    <definedName name="I1_577">I1_Erläuterung!$A$218</definedName>
    <definedName name="I1_578">I1_Erläuterung!$A$219</definedName>
    <definedName name="I1_579">I1_Erläuterung!$A$220</definedName>
    <definedName name="I1_580">I1_Erläuterung!$A$221</definedName>
    <definedName name="I1_581">I1_Erläuterung!$A$222</definedName>
    <definedName name="I1_582">I1_Erläuterung!$A$223</definedName>
    <definedName name="I1_585">I1_Erläuterung!$A$224</definedName>
    <definedName name="I1_588">I1_Erläuterung!$A$225</definedName>
    <definedName name="I1_589">I1_Erläuterung!$A$226</definedName>
    <definedName name="I1_591">I1_Erläuterung!$A$227</definedName>
    <definedName name="I1_592">I1_Erläuterung!$A$228</definedName>
    <definedName name="I1_599">I1_Erläuterung!$A$229</definedName>
    <definedName name="I1_600">I1_Erläuterung!$A$231</definedName>
    <definedName name="I1_610">I1_Erläuterung!$A$232</definedName>
    <definedName name="I1_612">I1_Erläuterung!$A$233</definedName>
    <definedName name="I1_613">I1_Erläuterung!$A$234</definedName>
    <definedName name="I1_615">I1_Erläuterung!$A$235</definedName>
    <definedName name="I1_620">I1_Erläuterung!$A$236</definedName>
    <definedName name="I1_621">I1_Erläuterung!$A$237</definedName>
    <definedName name="I1_622">I1_Erläuterung!$A$238</definedName>
    <definedName name="I1_623">I1_Erläuterung!$A$239</definedName>
    <definedName name="I1_624">I1_Erläuterung!$A$240</definedName>
    <definedName name="I1_625">I1_Erläuterung!$A$241</definedName>
    <definedName name="I1_626">I1_Erläuterung!$A$242</definedName>
    <definedName name="I1_627">I1_Erläuterung!$A$243</definedName>
    <definedName name="I1_650">I1_Erläuterung!$A$244</definedName>
    <definedName name="I1_655">I1_Erläuterung!$A$245</definedName>
    <definedName name="I1_690">I1_Erläuterung!$A$246</definedName>
    <definedName name="I1_700">I1_Erläuterung!$A$248</definedName>
    <definedName name="I1_710">I1_Erläuterung!$A$249</definedName>
    <definedName name="I1_711">I1_Erläuterung!$A$250</definedName>
    <definedName name="I1_712">I1_Erläuterung!$A$251</definedName>
    <definedName name="I1_713">I1_Erläuterung!$A$252</definedName>
    <definedName name="I1_714">I1_Erläuterung!$A$253</definedName>
    <definedName name="I1_715">I1_Erläuterung!$A$254</definedName>
    <definedName name="I1_716">I1_Erläuterung!$A$255</definedName>
    <definedName name="I1_800">I1_Erläuterung!$A$257</definedName>
    <definedName name="I1_811">I1_Erläuterung!$A$258</definedName>
    <definedName name="I1_81xa">I1_Erläuterung!$A$259</definedName>
    <definedName name="I1_81xb">I1_Erläuterung!$A$260</definedName>
    <definedName name="I1_81xc">I1_Erläuterung!$A$261</definedName>
    <definedName name="I1_900">I1_Erläuterung!$A$263</definedName>
    <definedName name="I1_910">I1_Erläuterung!$A$264</definedName>
    <definedName name="I1_911">I1_Erläuterung!$A$265</definedName>
    <definedName name="I1_912">I1_Erläuterung!$A$266</definedName>
    <definedName name="I1_920">I1_Erläuterung!$A$267</definedName>
    <definedName name="I1_921">I1_Erläuterung!$A$268</definedName>
    <definedName name="I1_922">I1_Erläuterung!$A$269</definedName>
    <definedName name="I1_923">I1_Erläuterung!$A$270</definedName>
    <definedName name="I1_924">I1_Erläuterung!$A$271</definedName>
    <definedName name="I1_925">I1_Erläuterung!$A$272</definedName>
    <definedName name="I1_926">I1_Erläuterung!$A$273</definedName>
    <definedName name="I1_927">I1_Erläuterung!$A$274</definedName>
    <definedName name="I1_928">I1_Erläuterung!$A$275</definedName>
    <definedName name="I1_929">I1_Erläuterung!$A$276</definedName>
    <definedName name="I1_930">I1_Erläuterung!$A$277</definedName>
    <definedName name="Jahr_Etappe_1">E1_Projektdaten!$D$83</definedName>
    <definedName name="Jahr_Etappe_2">E1_Projektdaten!$D$84</definedName>
    <definedName name="Jahr_Etappe_3">E1_Projektdaten!$D$85</definedName>
    <definedName name="Jahr_Etappe_4">E1_Projektdaten!$D$86</definedName>
    <definedName name="Jahr_Etappe_5">E1_Projektdaten!$D$87</definedName>
    <definedName name="Jahreskosten">E1_Projektdaten!$D$161</definedName>
    <definedName name="Jahreskosten_inklFörderung">E1_Projektdaten!$D$163</definedName>
    <definedName name="Kapitalkosten_Wärmeerzeugung">E1_Projektdaten!$D$155</definedName>
    <definedName name="Kapitalkosten_Wärmeverteilung">E1_Projektdaten!$D$156</definedName>
    <definedName name="max_verkaufteWM">E1_Projektdaten!$D$18</definedName>
    <definedName name="mittl_Erzeugte_Wärmemenge">E1_Projektdaten!$D$123</definedName>
    <definedName name="Netzbezug_Hilfsenergie">E1_Projektdaten!$D$135</definedName>
    <definedName name="Netzbezug_WP">E1_Projektdaten!$D$134</definedName>
    <definedName name="Nutzwärme_AWN">E1_Projektdaten!$D$129</definedName>
    <definedName name="Nutzwärme_Biomasse">E1_Projektdaten!$D$124</definedName>
    <definedName name="Nutzwärme_Kondensation">E1_Projektdaten!$D$125</definedName>
    <definedName name="Nutzwärme_WP">E1_Projektdaten!$D$127</definedName>
    <definedName name="Produktion_Pflanzenkohle">E1_Projektdaten!$D$137</definedName>
    <definedName name="Realzins">E1_Projektdaten!$D$63</definedName>
    <definedName name="Stromeinspeisung_Netz">E1_Projektdaten!$D$136</definedName>
    <definedName name="Stromkosten_Hilfsenergie">E1_Projektdaten!$D$146</definedName>
    <definedName name="Stromkosten_WP">E1_Projektdaten!$D$145</definedName>
    <definedName name="Stromproduktion_WKK">E1_Projektdaten!$D$131</definedName>
    <definedName name="Stromverbrauch">E1_Projektdaten!$C$146</definedName>
    <definedName name="Summe_einmalige_Anschlusskosten">E1_Projektdaten!$D$90</definedName>
    <definedName name="Wärme_WKK">E1_Projektdaten!$D$126</definedName>
    <definedName name="Wärmegestehungskosten_Energie">E1_Projektdaten!$F$159</definedName>
    <definedName name="Wärmegestehungskosten_Ertrag">E1_Projektdaten!$F$160</definedName>
    <definedName name="Wärmegestehungskosten_Förderung">E1_Projektdaten!$F$162</definedName>
    <definedName name="Wärmegestehungskosten_inklFörderung">E1_Projektdaten!$F$163</definedName>
    <definedName name="Wärmegestehungskosten_Kapital_Erzeugung">E1_Projektdaten!$F$155</definedName>
    <definedName name="Wärmegestehungskosten_Kapital_Verteilung">E1_Projektdaten!$F$156</definedName>
    <definedName name="Wärmegestehungskosten_Total">E1_Projektdaten!$F$161</definedName>
    <definedName name="Wärmegestehungskosten_WUErzeugung">E1_Projektdaten!$F$157</definedName>
    <definedName name="Wärmegestehungskosten_WUVerteilung">E1_Projektdaten!$F$158</definedName>
    <definedName name="Wärmepreis" localSheetId="6">A2_Planerfolgsrechnung!$J$12</definedName>
    <definedName name="Wärmepreis">A1_Ergebnisse!$Q$11</definedName>
    <definedName name="WartungUnterhalt_Wärmeerzeugung">E1_Projektdaten!$D$157</definedName>
    <definedName name="WartungUnterhalt_Wärmeverteilung">E1_Projektdaten!$D$158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68" i="8" l="1"/>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7" i="8"/>
  <c r="F16" i="8"/>
  <c r="G17" i="8"/>
  <c r="AS24" i="15" l="1"/>
  <c r="AR24" i="15"/>
  <c r="AQ24" i="15"/>
  <c r="AP24" i="15"/>
  <c r="AO24" i="15"/>
  <c r="AN24" i="15"/>
  <c r="AM24" i="15"/>
  <c r="AL24" i="15"/>
  <c r="AK24" i="15"/>
  <c r="AJ24" i="15"/>
  <c r="AI24" i="15"/>
  <c r="AH24" i="15"/>
  <c r="AG24" i="15"/>
  <c r="AF24" i="15"/>
  <c r="AE24" i="15"/>
  <c r="AD24" i="15"/>
  <c r="AC24" i="15"/>
  <c r="AB24" i="15"/>
  <c r="AA24" i="15"/>
  <c r="Z24" i="15"/>
  <c r="Y24" i="15"/>
  <c r="X24" i="15"/>
  <c r="W24" i="15"/>
  <c r="V24" i="15"/>
  <c r="U24" i="15"/>
  <c r="T24" i="15"/>
  <c r="S24" i="15"/>
  <c r="R24" i="15"/>
  <c r="Q24" i="15"/>
  <c r="P24" i="15"/>
  <c r="O24" i="15"/>
  <c r="N24" i="15"/>
  <c r="M24" i="15"/>
  <c r="L24" i="15"/>
  <c r="K24" i="15"/>
  <c r="J24" i="15"/>
  <c r="I24" i="15"/>
  <c r="H24" i="15"/>
  <c r="G24" i="15"/>
  <c r="F24" i="15"/>
  <c r="E24" i="15"/>
  <c r="D24" i="15"/>
  <c r="AS23" i="15"/>
  <c r="AR23" i="15"/>
  <c r="AQ23" i="15"/>
  <c r="AP23" i="15"/>
  <c r="AO23"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O23" i="15"/>
  <c r="N23" i="15"/>
  <c r="M23" i="15"/>
  <c r="L23" i="15"/>
  <c r="K23" i="15"/>
  <c r="J23" i="15"/>
  <c r="I23" i="15"/>
  <c r="H23" i="15"/>
  <c r="G23" i="15"/>
  <c r="F23" i="15"/>
  <c r="E23" i="15"/>
  <c r="D23" i="15"/>
  <c r="E137" i="9"/>
  <c r="E52" i="9"/>
  <c r="E35" i="20" a="1"/>
  <c r="E35" i="20" s="1"/>
  <c r="E20" i="20" a="1"/>
  <c r="E20" i="20" s="1"/>
  <c r="C11" i="20" l="1"/>
  <c r="C9" i="20"/>
  <c r="C8" i="20"/>
  <c r="C7" i="20"/>
  <c r="K90" i="9"/>
  <c r="D90" i="9"/>
  <c r="D134" i="9" l="1"/>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T56" i="9" l="1"/>
  <c r="D18" i="9" l="1"/>
  <c r="G14" i="6" a="1"/>
  <c r="G14" i="6" s="1"/>
  <c r="D125" i="9" l="1"/>
  <c r="D23" i="9"/>
  <c r="D55" i="9"/>
  <c r="D158" i="9" s="1"/>
  <c r="U116" i="9"/>
  <c r="U119" i="9"/>
  <c r="V116" i="9"/>
  <c r="V119" i="9"/>
  <c r="T118" i="9"/>
  <c r="T115" i="9"/>
  <c r="W51" i="9"/>
  <c r="W52" i="9"/>
  <c r="W49"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D83" i="9"/>
  <c r="K84" i="9" s="1"/>
  <c r="D137" i="9"/>
  <c r="D149" i="9" s="1"/>
  <c r="F29" i="8" s="1"/>
  <c r="S120" i="9"/>
  <c r="U120" i="9" s="1"/>
  <c r="U118" i="9"/>
  <c r="S113" i="9"/>
  <c r="U113" i="9" s="1"/>
  <c r="U112" i="9"/>
  <c r="V74" i="9"/>
  <c r="U74" i="9"/>
  <c r="V72" i="9"/>
  <c r="V71" i="9"/>
  <c r="U71" i="9"/>
  <c r="V70" i="9"/>
  <c r="U70" i="9"/>
  <c r="V52" i="9"/>
  <c r="U52" i="9"/>
  <c r="V51" i="9"/>
  <c r="U51" i="9"/>
  <c r="V50" i="9"/>
  <c r="U50" i="9"/>
  <c r="D49" i="9"/>
  <c r="V49" i="9" s="1"/>
  <c r="V45" i="9"/>
  <c r="U45" i="9"/>
  <c r="U41" i="9"/>
  <c r="V40" i="9"/>
  <c r="U40" i="9"/>
  <c r="V38" i="9"/>
  <c r="U38" i="9"/>
  <c r="V36" i="9"/>
  <c r="U36" i="9"/>
  <c r="V34" i="9"/>
  <c r="U34" i="9"/>
  <c r="V33" i="9"/>
  <c r="U33" i="9"/>
  <c r="D32" i="9"/>
  <c r="V31" i="9"/>
  <c r="V29" i="9"/>
  <c r="V28" i="9"/>
  <c r="X46" i="9" l="1"/>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V120" i="9" l="1"/>
  <c r="X120" i="9" s="1"/>
  <c r="J26" i="15"/>
  <c r="K26" i="15"/>
  <c r="L26" i="15"/>
  <c r="M26" i="15"/>
  <c r="N26" i="15"/>
  <c r="O26" i="15"/>
  <c r="P26" i="15"/>
  <c r="Q26" i="15"/>
  <c r="R26" i="15"/>
  <c r="S26" i="15"/>
  <c r="T26" i="15"/>
  <c r="U26" i="15"/>
  <c r="V26" i="15"/>
  <c r="W26" i="15"/>
  <c r="X26" i="15"/>
  <c r="Y26" i="15"/>
  <c r="Z26" i="15"/>
  <c r="AA26" i="15"/>
  <c r="AB26" i="15"/>
  <c r="AC26" i="15"/>
  <c r="AD26" i="15"/>
  <c r="AE26" i="15"/>
  <c r="AF26" i="15"/>
  <c r="AG26" i="15"/>
  <c r="AH26" i="15"/>
  <c r="AI26" i="15"/>
  <c r="AJ26" i="15"/>
  <c r="AK26" i="15"/>
  <c r="AL26" i="15"/>
  <c r="AM26" i="15"/>
  <c r="AN26" i="15"/>
  <c r="AO26" i="15"/>
  <c r="AP26"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J27" i="15"/>
  <c r="K27" i="15"/>
  <c r="L27" i="15"/>
  <c r="M27" i="15"/>
  <c r="N27" i="15"/>
  <c r="O27" i="15"/>
  <c r="P27" i="15"/>
  <c r="Q27" i="15"/>
  <c r="R27" i="15"/>
  <c r="S27" i="15"/>
  <c r="T27" i="15"/>
  <c r="U27" i="15"/>
  <c r="V27" i="15"/>
  <c r="W27" i="15"/>
  <c r="X27" i="15"/>
  <c r="Y27" i="15"/>
  <c r="Z27" i="15"/>
  <c r="AA27" i="15"/>
  <c r="AB27" i="15"/>
  <c r="AC27" i="15"/>
  <c r="AD27" i="15"/>
  <c r="AE27" i="15"/>
  <c r="AF27" i="15"/>
  <c r="AG27" i="15"/>
  <c r="AH27" i="15"/>
  <c r="AI27" i="15"/>
  <c r="AJ27" i="15"/>
  <c r="AK27" i="15"/>
  <c r="AL27" i="15"/>
  <c r="AM27" i="15"/>
  <c r="AN27" i="15"/>
  <c r="AO27" i="15"/>
  <c r="AP27"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AH70" i="9" l="1"/>
  <c r="AH78" i="9"/>
  <c r="AH71" i="9"/>
  <c r="AH79" i="9"/>
  <c r="AH72" i="9"/>
  <c r="AH68" i="9"/>
  <c r="AH73" i="9"/>
  <c r="AH74" i="9"/>
  <c r="AH75" i="9"/>
  <c r="AH76" i="9"/>
  <c r="AH77" i="9"/>
  <c r="AH69" i="9"/>
  <c r="D162" i="9"/>
  <c r="X96" i="9"/>
  <c r="X103" i="9"/>
  <c r="U63" i="9"/>
  <c r="X62" i="9"/>
  <c r="V63" i="9"/>
  <c r="X63" i="9" l="1"/>
  <c r="G16" i="8"/>
  <c r="W20" i="9"/>
  <c r="V20" i="9"/>
  <c r="U20" i="9"/>
  <c r="X20" i="9" l="1"/>
  <c r="V80" i="9"/>
  <c r="U80" i="9"/>
  <c r="V79" i="9"/>
  <c r="V78" i="9"/>
  <c r="U78" i="9"/>
  <c r="V77" i="9"/>
  <c r="V76" i="9"/>
  <c r="U76" i="9"/>
  <c r="V75" i="9"/>
  <c r="V69" i="9"/>
  <c r="U69" i="9"/>
  <c r="V68" i="9"/>
  <c r="U68" i="9"/>
  <c r="X68" i="9" l="1"/>
  <c r="X76" i="9"/>
  <c r="X69" i="9"/>
  <c r="X77" i="9"/>
  <c r="X79" i="9"/>
  <c r="X78" i="9"/>
  <c r="D84" i="9"/>
  <c r="D85" i="9" l="1"/>
  <c r="K85" i="9"/>
  <c r="D86" i="9" l="1"/>
  <c r="K86" i="9"/>
  <c r="I80" i="9"/>
  <c r="AH80" i="9" s="1"/>
  <c r="D155" i="9" l="1"/>
  <c r="D156"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H27" i="15" l="1"/>
  <c r="D27" i="15"/>
  <c r="D26" i="15"/>
  <c r="I27" i="15"/>
  <c r="E26" i="15"/>
  <c r="F26" i="15"/>
  <c r="F27" i="15"/>
  <c r="G27" i="15"/>
  <c r="G26" i="15"/>
  <c r="H26" i="15"/>
  <c r="E27" i="15"/>
  <c r="I26"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AR30" i="15"/>
  <c r="AQ30" i="15"/>
  <c r="AN30" i="15"/>
  <c r="AJ30" i="15"/>
  <c r="AI30" i="15"/>
  <c r="AF30" i="15"/>
  <c r="AB30" i="15"/>
  <c r="AA30" i="15"/>
  <c r="X30" i="15"/>
  <c r="T30" i="15"/>
  <c r="S30" i="15"/>
  <c r="P30" i="15"/>
  <c r="L30" i="15"/>
  <c r="K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AS29" i="15"/>
  <c r="AS30" i="15" s="1"/>
  <c r="AR29" i="15"/>
  <c r="AQ29" i="15"/>
  <c r="AP29" i="15"/>
  <c r="AP30" i="15" s="1"/>
  <c r="AO29" i="15"/>
  <c r="AO30" i="15" s="1"/>
  <c r="AN29" i="15"/>
  <c r="AM29" i="15"/>
  <c r="AM30" i="15" s="1"/>
  <c r="AL29" i="15"/>
  <c r="AL30" i="15" s="1"/>
  <c r="AK29" i="15"/>
  <c r="AK30" i="15" s="1"/>
  <c r="AJ29" i="15"/>
  <c r="AI29" i="15"/>
  <c r="AH29" i="15"/>
  <c r="AH30" i="15" s="1"/>
  <c r="AG29" i="15"/>
  <c r="AG30" i="15" s="1"/>
  <c r="AF29" i="15"/>
  <c r="AE29" i="15"/>
  <c r="AE30" i="15" s="1"/>
  <c r="AD29" i="15"/>
  <c r="AD30" i="15" s="1"/>
  <c r="AC29" i="15"/>
  <c r="AC30" i="15" s="1"/>
  <c r="AB29" i="15"/>
  <c r="AA29" i="15"/>
  <c r="Z29" i="15"/>
  <c r="Z30" i="15" s="1"/>
  <c r="Y29" i="15"/>
  <c r="Y30" i="15" s="1"/>
  <c r="X29" i="15"/>
  <c r="W29" i="15"/>
  <c r="W30" i="15" s="1"/>
  <c r="V29" i="15"/>
  <c r="V30" i="15" s="1"/>
  <c r="U29" i="15"/>
  <c r="U30" i="15" s="1"/>
  <c r="T29" i="15"/>
  <c r="S29" i="15"/>
  <c r="R29" i="15"/>
  <c r="R30" i="15" s="1"/>
  <c r="Q29" i="15"/>
  <c r="Q30" i="15" s="1"/>
  <c r="P29" i="15"/>
  <c r="O29" i="15"/>
  <c r="O30" i="15" s="1"/>
  <c r="N29" i="15"/>
  <c r="N30" i="15" s="1"/>
  <c r="M29" i="15"/>
  <c r="M30" i="15" s="1"/>
  <c r="L29" i="15"/>
  <c r="K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F83" i="9"/>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C39" i="15"/>
  <c r="D38" i="15"/>
  <c r="C38" i="15"/>
  <c r="J29" i="15"/>
  <c r="J30" i="15"/>
  <c r="C37" i="15"/>
  <c r="C36" i="15"/>
  <c r="D37" i="15"/>
  <c r="D36" i="15"/>
  <c r="B44" i="8"/>
  <c r="D81" i="9"/>
  <c r="U19" i="9"/>
  <c r="V19" i="9"/>
  <c r="W19" i="9"/>
  <c r="U61" i="9"/>
  <c r="V61" i="9"/>
  <c r="U59" i="9"/>
  <c r="U56" i="9"/>
  <c r="V56" i="9"/>
  <c r="U44" i="9"/>
  <c r="V44" i="9"/>
  <c r="U26" i="9"/>
  <c r="V26" i="9"/>
  <c r="U39" i="9"/>
  <c r="V39" i="9"/>
  <c r="W39" i="9"/>
  <c r="U48" i="9"/>
  <c r="V48" i="9"/>
  <c r="W48" i="9"/>
  <c r="U55" i="9"/>
  <c r="V55" i="9"/>
  <c r="AW44" i="8" l="1"/>
  <c r="BA44" i="8"/>
  <c r="F93" i="9"/>
  <c r="F115" i="9"/>
  <c r="F110" i="9"/>
  <c r="F90" i="9"/>
  <c r="F89" i="9"/>
  <c r="F112" i="9"/>
  <c r="F118" i="9"/>
  <c r="F108" i="9"/>
  <c r="F100" i="9"/>
  <c r="AU44" i="8"/>
  <c r="AY44" i="8"/>
  <c r="C44" i="8" a="1"/>
  <c r="C44" i="8" s="1"/>
  <c r="G44" i="8" a="1"/>
  <c r="G44" i="8" s="1"/>
  <c r="AS44" i="8"/>
  <c r="K60" i="9"/>
  <c r="T89" i="9"/>
  <c r="V89" i="9" s="1"/>
  <c r="S89" i="9"/>
  <c r="U89" i="9" s="1"/>
  <c r="F44" i="8"/>
  <c r="Q44" i="8"/>
  <c r="T112" i="9"/>
  <c r="V112" i="9" s="1"/>
  <c r="X112" i="9" s="1"/>
  <c r="V118" i="9"/>
  <c r="X118" i="9" s="1"/>
  <c r="T111" i="9"/>
  <c r="V111" i="9" s="1"/>
  <c r="T57" i="9"/>
  <c r="V57" i="9" s="1"/>
  <c r="T60" i="9"/>
  <c r="T108" i="9"/>
  <c r="V108" i="9" s="1"/>
  <c r="X108" i="9" s="1"/>
  <c r="V81" i="9"/>
  <c r="U81" i="9"/>
  <c r="W80" i="9"/>
  <c r="X80" i="9" s="1"/>
  <c r="B54" i="14"/>
  <c r="U57" i="9"/>
  <c r="D67" i="14"/>
  <c r="T59" i="9"/>
  <c r="V59" i="9" s="1"/>
  <c r="X59" i="9" s="1"/>
  <c r="D27" i="16"/>
  <c r="B45" i="8"/>
  <c r="T110" i="9"/>
  <c r="V110" i="9" s="1"/>
  <c r="X110" i="9" s="1"/>
  <c r="F33" i="8"/>
  <c r="I81" i="9"/>
  <c r="X61" i="9"/>
  <c r="X56" i="9"/>
  <c r="X26" i="9"/>
  <c r="T117" i="9"/>
  <c r="V117" i="9" s="1"/>
  <c r="T95" i="9"/>
  <c r="V95" i="9" s="1"/>
  <c r="T109" i="9"/>
  <c r="V109" i="9" s="1"/>
  <c r="U109" i="9"/>
  <c r="W47" i="9"/>
  <c r="U37" i="9"/>
  <c r="V47" i="9"/>
  <c r="V37" i="9"/>
  <c r="U47" i="9"/>
  <c r="W37" i="9"/>
  <c r="J3" i="16"/>
  <c r="J21" i="16"/>
  <c r="X48" i="9"/>
  <c r="F29" i="15"/>
  <c r="F30" i="15" s="1"/>
  <c r="D145" i="9"/>
  <c r="X19" i="9"/>
  <c r="X97" i="9"/>
  <c r="X22" i="9"/>
  <c r="B58" i="14"/>
  <c r="X55" i="9"/>
  <c r="X116" i="9"/>
  <c r="G28" i="15"/>
  <c r="C26" i="14"/>
  <c r="D53" i="14"/>
  <c r="B57" i="14"/>
  <c r="E62" i="14"/>
  <c r="I83" i="9"/>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D28" i="15"/>
  <c r="C27" i="14"/>
  <c r="B46" i="14"/>
  <c r="C31" i="14"/>
  <c r="B50" i="14"/>
  <c r="B59" i="14"/>
  <c r="C40" i="14"/>
  <c r="D47" i="14"/>
  <c r="D59" i="14"/>
  <c r="E42" i="14"/>
  <c r="D58" i="14"/>
  <c r="B53" i="14"/>
  <c r="D51" i="14"/>
  <c r="D48" i="14"/>
  <c r="D50" i="14"/>
  <c r="B51" i="14"/>
  <c r="AW45" i="8" l="1"/>
  <c r="BA45" i="8"/>
  <c r="AI44" i="8"/>
  <c r="AD44" i="8"/>
  <c r="D157" i="9"/>
  <c r="E44" i="8" a="1"/>
  <c r="E44" i="8" s="1"/>
  <c r="H44" i="8" s="1"/>
  <c r="I44" i="8" s="1"/>
  <c r="AM44" i="8"/>
  <c r="C45" i="8" a="1"/>
  <c r="C45" i="8" s="1"/>
  <c r="G45" i="8" a="1"/>
  <c r="G45" i="8" s="1"/>
  <c r="AS45" i="8"/>
  <c r="AM45" i="8" s="1"/>
  <c r="X89" i="9"/>
  <c r="AC44" i="8"/>
  <c r="I84" i="9"/>
  <c r="AC45" i="8" s="1"/>
  <c r="AB44" i="8"/>
  <c r="F45" i="8"/>
  <c r="Q45" i="8"/>
  <c r="AD45" i="8"/>
  <c r="F26" i="8"/>
  <c r="X111" i="9"/>
  <c r="D129" i="9"/>
  <c r="D127" i="9"/>
  <c r="B46" i="8"/>
  <c r="V60" i="9"/>
  <c r="U60" i="9"/>
  <c r="X81" i="9"/>
  <c r="E29" i="15"/>
  <c r="E30" i="15" s="1"/>
  <c r="H28" i="15"/>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W46" i="8" l="1"/>
  <c r="BA46" i="8"/>
  <c r="AI45" i="8"/>
  <c r="AQ44" i="8" a="1"/>
  <c r="AQ44" i="8" s="1"/>
  <c r="E45" i="8" a="1"/>
  <c r="E45" i="8" s="1"/>
  <c r="G46" i="8" a="1"/>
  <c r="G46" i="8" s="1"/>
  <c r="C46" i="8" a="1"/>
  <c r="C46" i="8" s="1"/>
  <c r="AS46" i="8"/>
  <c r="I85" i="9"/>
  <c r="AC46" i="8" s="1"/>
  <c r="AB45" i="8"/>
  <c r="D143" i="9"/>
  <c r="F19" i="8" s="1"/>
  <c r="F46" i="8"/>
  <c r="Q46" i="8"/>
  <c r="AD46" i="8"/>
  <c r="B47" i="8"/>
  <c r="X60" i="9"/>
  <c r="F67" i="14"/>
  <c r="G62" i="14"/>
  <c r="F56" i="14"/>
  <c r="F58" i="14"/>
  <c r="F50" i="14"/>
  <c r="F51" i="14"/>
  <c r="F49" i="14"/>
  <c r="G42" i="14"/>
  <c r="F48" i="14"/>
  <c r="F45" i="14"/>
  <c r="F47" i="14"/>
  <c r="F57" i="14"/>
  <c r="F59" i="14"/>
  <c r="F54" i="14"/>
  <c r="F55" i="14"/>
  <c r="F52" i="14"/>
  <c r="F46" i="14"/>
  <c r="F53" i="14"/>
  <c r="AW47" i="8" l="1"/>
  <c r="BA47" i="8"/>
  <c r="AI47" i="8" s="1"/>
  <c r="AI46" i="8"/>
  <c r="AQ45" i="8" a="1"/>
  <c r="AQ45" i="8" s="1"/>
  <c r="AM46" i="8"/>
  <c r="AV44" i="8"/>
  <c r="H45" i="8"/>
  <c r="E46" i="8" a="1"/>
  <c r="E46" i="8" s="1"/>
  <c r="G47" i="8" a="1"/>
  <c r="G47" i="8" s="1"/>
  <c r="C47" i="8" a="1"/>
  <c r="C47" i="8" s="1"/>
  <c r="AS47" i="8"/>
  <c r="I86" i="9"/>
  <c r="AC47" i="8" s="1"/>
  <c r="AB46" i="8"/>
  <c r="F47" i="8"/>
  <c r="Q47" i="8"/>
  <c r="AD47" i="8"/>
  <c r="B48" i="8"/>
  <c r="G67" i="14"/>
  <c r="H62" i="14"/>
  <c r="G55" i="14"/>
  <c r="H42" i="14"/>
  <c r="G45" i="14"/>
  <c r="G47" i="14"/>
  <c r="G59" i="14"/>
  <c r="G51" i="14"/>
  <c r="G56" i="14"/>
  <c r="G53" i="14"/>
  <c r="G52" i="14"/>
  <c r="G58" i="14"/>
  <c r="G49" i="14"/>
  <c r="G46" i="14"/>
  <c r="G50" i="14"/>
  <c r="G57" i="14"/>
  <c r="G54" i="14"/>
  <c r="G48" i="14"/>
  <c r="AW48" i="8" l="1"/>
  <c r="BA48" i="8"/>
  <c r="AI48" i="8" s="1"/>
  <c r="AQ46" i="8" a="1"/>
  <c r="AQ46" i="8" s="1"/>
  <c r="E47" i="8" a="1"/>
  <c r="E47" i="8" s="1"/>
  <c r="AM47" i="8"/>
  <c r="AZ44" i="8"/>
  <c r="BB44" i="8" s="1"/>
  <c r="AX44" i="8"/>
  <c r="G48" i="8" a="1"/>
  <c r="G48" i="8" s="1"/>
  <c r="C48" i="8" a="1"/>
  <c r="C48" i="8" s="1"/>
  <c r="AS48" i="8"/>
  <c r="I87" i="9"/>
  <c r="AC48" i="8" s="1"/>
  <c r="AB47" i="8"/>
  <c r="H46" i="8"/>
  <c r="F48" i="8"/>
  <c r="Q48" i="8"/>
  <c r="AD48" i="8"/>
  <c r="B49" i="8"/>
  <c r="H67" i="14"/>
  <c r="I62" i="14"/>
  <c r="H49" i="14"/>
  <c r="H59" i="14"/>
  <c r="H54" i="14"/>
  <c r="H45" i="14"/>
  <c r="H47" i="14"/>
  <c r="I42" i="14"/>
  <c r="H51" i="14"/>
  <c r="H58" i="14"/>
  <c r="H48" i="14"/>
  <c r="H57" i="14"/>
  <c r="H46" i="14"/>
  <c r="H56" i="14"/>
  <c r="H52" i="14"/>
  <c r="H53" i="14"/>
  <c r="H50" i="14"/>
  <c r="H55" i="14"/>
  <c r="AW49" i="8" l="1"/>
  <c r="BA49" i="8"/>
  <c r="AQ47" i="8" a="1"/>
  <c r="AQ47" i="8" s="1"/>
  <c r="AG44" i="8"/>
  <c r="H47" i="8"/>
  <c r="E48" i="8" a="1"/>
  <c r="E48" i="8" s="1"/>
  <c r="AM48" i="8"/>
  <c r="J44" i="8"/>
  <c r="K44" i="8" s="1"/>
  <c r="AR44" i="8"/>
  <c r="G49" i="8" a="1"/>
  <c r="G49" i="8" s="1"/>
  <c r="C49" i="8" a="1"/>
  <c r="C49" i="8" s="1"/>
  <c r="AS49" i="8"/>
  <c r="AB49" i="8"/>
  <c r="AB48" i="8"/>
  <c r="F49" i="8"/>
  <c r="Q49" i="8"/>
  <c r="B50" i="8"/>
  <c r="AD49" i="8"/>
  <c r="AC49" i="8"/>
  <c r="I67" i="14"/>
  <c r="J62" i="14"/>
  <c r="I59" i="14"/>
  <c r="J42" i="14"/>
  <c r="I47" i="14"/>
  <c r="I49" i="14"/>
  <c r="I51" i="14"/>
  <c r="I45" i="14"/>
  <c r="I46" i="14"/>
  <c r="I55" i="14"/>
  <c r="I53" i="14"/>
  <c r="I52" i="14"/>
  <c r="I57" i="14"/>
  <c r="I58" i="14"/>
  <c r="I48" i="14"/>
  <c r="I50" i="14"/>
  <c r="I54" i="14"/>
  <c r="I56" i="14"/>
  <c r="AW50" i="8" l="1"/>
  <c r="BA50" i="8"/>
  <c r="AI50" i="8" s="1"/>
  <c r="AI49" i="8"/>
  <c r="AQ48" i="8" a="1"/>
  <c r="AQ48" i="8" s="1"/>
  <c r="H48" i="8"/>
  <c r="I48" i="8" s="1"/>
  <c r="E49" i="8" a="1"/>
  <c r="E49" i="8" s="1"/>
  <c r="H49" i="8" s="1"/>
  <c r="I49" i="8" s="1"/>
  <c r="AM49" i="8"/>
  <c r="AB50" i="8"/>
  <c r="C50" i="8" a="1"/>
  <c r="C50" i="8" s="1"/>
  <c r="G50" i="8" a="1"/>
  <c r="G50" i="8" s="1"/>
  <c r="AS50" i="8"/>
  <c r="F50" i="8"/>
  <c r="Q50" i="8"/>
  <c r="B51" i="8"/>
  <c r="AD50" i="8"/>
  <c r="AC50" i="8"/>
  <c r="J67" i="14"/>
  <c r="K62" i="14"/>
  <c r="J49" i="14"/>
  <c r="K42" i="14"/>
  <c r="J48" i="14"/>
  <c r="J51" i="14"/>
  <c r="J52" i="14"/>
  <c r="J58" i="14"/>
  <c r="J54" i="14"/>
  <c r="J46" i="14"/>
  <c r="J55" i="14"/>
  <c r="J53" i="14"/>
  <c r="J50" i="14"/>
  <c r="J57" i="14"/>
  <c r="J56" i="14"/>
  <c r="J59" i="14"/>
  <c r="J45" i="14"/>
  <c r="J47" i="14"/>
  <c r="AW51" i="8" l="1"/>
  <c r="BA51" i="8"/>
  <c r="AQ49" i="8" a="1"/>
  <c r="AQ49" i="8" s="1"/>
  <c r="E50" i="8" a="1"/>
  <c r="E50" i="8" s="1"/>
  <c r="H50" i="8" s="1"/>
  <c r="I50" i="8" s="1"/>
  <c r="AM50" i="8"/>
  <c r="G51" i="8" a="1"/>
  <c r="G51" i="8" s="1"/>
  <c r="C51" i="8" a="1"/>
  <c r="C51" i="8" s="1"/>
  <c r="AS51" i="8"/>
  <c r="AB51" i="8"/>
  <c r="F51" i="8"/>
  <c r="Q51" i="8"/>
  <c r="B52" i="8"/>
  <c r="AC51" i="8"/>
  <c r="AD51" i="8"/>
  <c r="K67" i="14"/>
  <c r="L62" i="14"/>
  <c r="K49" i="14"/>
  <c r="K50" i="14"/>
  <c r="K46" i="14"/>
  <c r="K56" i="14"/>
  <c r="K54" i="14"/>
  <c r="K45" i="14"/>
  <c r="K59" i="14"/>
  <c r="K55" i="14"/>
  <c r="L42" i="14"/>
  <c r="K47" i="14"/>
  <c r="K52" i="14"/>
  <c r="K51" i="14"/>
  <c r="K53" i="14"/>
  <c r="K57" i="14"/>
  <c r="K48" i="14"/>
  <c r="K58" i="14"/>
  <c r="AW52" i="8" l="1"/>
  <c r="BA52" i="8"/>
  <c r="AI51" i="8"/>
  <c r="AQ50" i="8" a="1"/>
  <c r="AQ50" i="8" s="1"/>
  <c r="E51" i="8" a="1"/>
  <c r="E51" i="8" s="1"/>
  <c r="H51" i="8" s="1"/>
  <c r="I51" i="8" s="1"/>
  <c r="AM51" i="8"/>
  <c r="AQ51" i="8" s="1" a="1"/>
  <c r="AQ51" i="8" s="1"/>
  <c r="C52" i="8" a="1"/>
  <c r="C52" i="8" s="1"/>
  <c r="G52" i="8" a="1"/>
  <c r="G52" i="8" s="1"/>
  <c r="AS52" i="8"/>
  <c r="AB52" i="8"/>
  <c r="F52" i="8"/>
  <c r="AD52" i="8"/>
  <c r="Q52" i="8"/>
  <c r="B53" i="8"/>
  <c r="AC52" i="8"/>
  <c r="L67" i="14"/>
  <c r="M62" i="14"/>
  <c r="L49" i="14"/>
  <c r="M42" i="14"/>
  <c r="L52" i="14"/>
  <c r="L50" i="14"/>
  <c r="L45" i="14"/>
  <c r="L47" i="14"/>
  <c r="L58" i="14"/>
  <c r="L55" i="14"/>
  <c r="L51" i="14"/>
  <c r="L48" i="14"/>
  <c r="L54" i="14"/>
  <c r="L56" i="14"/>
  <c r="L53" i="14"/>
  <c r="L46" i="14"/>
  <c r="L59" i="14"/>
  <c r="L57" i="14"/>
  <c r="AW53" i="8" l="1"/>
  <c r="BA53" i="8"/>
  <c r="AI52" i="8"/>
  <c r="E52" i="8" a="1"/>
  <c r="E52" i="8" s="1"/>
  <c r="H52" i="8" s="1"/>
  <c r="I52" i="8" s="1"/>
  <c r="AM52" i="8"/>
  <c r="AQ52" i="8" s="1" a="1"/>
  <c r="AQ52" i="8" s="1"/>
  <c r="C53" i="8" a="1"/>
  <c r="C53" i="8" s="1"/>
  <c r="G53" i="8" a="1"/>
  <c r="G53" i="8" s="1"/>
  <c r="AS53" i="8"/>
  <c r="AB53" i="8"/>
  <c r="F53" i="8"/>
  <c r="B54" i="8"/>
  <c r="Q53" i="8"/>
  <c r="AD53" i="8"/>
  <c r="AC53" i="8"/>
  <c r="M67" i="14"/>
  <c r="N62" i="14"/>
  <c r="M49" i="14"/>
  <c r="N42" i="14"/>
  <c r="M47" i="14"/>
  <c r="M56" i="14"/>
  <c r="M58" i="14"/>
  <c r="M51" i="14"/>
  <c r="M57" i="14"/>
  <c r="M45" i="14"/>
  <c r="M55" i="14"/>
  <c r="M59" i="14"/>
  <c r="M50" i="14"/>
  <c r="M52" i="14"/>
  <c r="M48" i="14"/>
  <c r="M46" i="14"/>
  <c r="M54" i="14"/>
  <c r="M53" i="14"/>
  <c r="AW54" i="8" l="1"/>
  <c r="BA54" i="8"/>
  <c r="AI53" i="8"/>
  <c r="E53" i="8" a="1"/>
  <c r="E53" i="8" s="1"/>
  <c r="H53" i="8" s="1"/>
  <c r="I53" i="8" s="1"/>
  <c r="AM53" i="8"/>
  <c r="AQ53" i="8" s="1" a="1"/>
  <c r="AQ53" i="8" s="1"/>
  <c r="G54" i="8" a="1"/>
  <c r="G54" i="8" s="1"/>
  <c r="C54" i="8" a="1"/>
  <c r="C54" i="8" s="1"/>
  <c r="AS54" i="8"/>
  <c r="AB54" i="8"/>
  <c r="B55" i="8"/>
  <c r="F54" i="8"/>
  <c r="AD54" i="8"/>
  <c r="AC54" i="8"/>
  <c r="Q54" i="8"/>
  <c r="N67" i="14"/>
  <c r="O62" i="14"/>
  <c r="O42" i="14"/>
  <c r="N48" i="14"/>
  <c r="N45" i="14"/>
  <c r="N47" i="14"/>
  <c r="N49" i="14"/>
  <c r="N59" i="14"/>
  <c r="N53" i="14"/>
  <c r="N54" i="14"/>
  <c r="N46" i="14"/>
  <c r="N58" i="14"/>
  <c r="N50" i="14"/>
  <c r="N51" i="14"/>
  <c r="N56" i="14"/>
  <c r="N55" i="14"/>
  <c r="N57" i="14"/>
  <c r="N52" i="14"/>
  <c r="AW55" i="8" l="1"/>
  <c r="BA55" i="8"/>
  <c r="AI55" i="8" s="1"/>
  <c r="AI54" i="8"/>
  <c r="E54" i="8" a="1"/>
  <c r="E54" i="8" s="1"/>
  <c r="H54" i="8" s="1"/>
  <c r="I54" i="8" s="1"/>
  <c r="AM54" i="8"/>
  <c r="AQ54" i="8" s="1" a="1"/>
  <c r="AQ54" i="8" s="1"/>
  <c r="G55" i="8" a="1"/>
  <c r="G55" i="8" s="1"/>
  <c r="C55" i="8" a="1"/>
  <c r="C55" i="8" s="1"/>
  <c r="AS55" i="8"/>
  <c r="AB55" i="8"/>
  <c r="AC55" i="8"/>
  <c r="B56" i="8"/>
  <c r="AD55" i="8"/>
  <c r="Q55" i="8"/>
  <c r="F55" i="8"/>
  <c r="O67" i="14"/>
  <c r="P62" i="14"/>
  <c r="O54" i="14"/>
  <c r="P42" i="14"/>
  <c r="O49" i="14"/>
  <c r="O46" i="14"/>
  <c r="O51" i="14"/>
  <c r="O50" i="14"/>
  <c r="O58" i="14"/>
  <c r="O56" i="14"/>
  <c r="O48" i="14"/>
  <c r="O47" i="14"/>
  <c r="O55" i="14"/>
  <c r="O53" i="14"/>
  <c r="O59" i="14"/>
  <c r="O57" i="14"/>
  <c r="O45" i="14"/>
  <c r="O52" i="14"/>
  <c r="AW56" i="8" l="1"/>
  <c r="BA56" i="8"/>
  <c r="AI56" i="8" s="1"/>
  <c r="E55" i="8" a="1"/>
  <c r="E55" i="8" s="1"/>
  <c r="AM55" i="8"/>
  <c r="AQ55" i="8" s="1" a="1"/>
  <c r="AQ55" i="8" s="1"/>
  <c r="G56" i="8" a="1"/>
  <c r="G56" i="8" s="1"/>
  <c r="C56" i="8" a="1"/>
  <c r="C56" i="8" s="1"/>
  <c r="AS56" i="8"/>
  <c r="AB56" i="8"/>
  <c r="Q56" i="8"/>
  <c r="AC56" i="8"/>
  <c r="B57" i="8"/>
  <c r="AD56" i="8"/>
  <c r="F56" i="8"/>
  <c r="P67" i="14"/>
  <c r="Q62" i="14"/>
  <c r="P46" i="14"/>
  <c r="P59" i="14"/>
  <c r="P55" i="14"/>
  <c r="P56" i="14"/>
  <c r="P47" i="14"/>
  <c r="P53" i="14"/>
  <c r="P50" i="14"/>
  <c r="P58" i="14"/>
  <c r="P52" i="14"/>
  <c r="Q42" i="14"/>
  <c r="P51" i="14"/>
  <c r="P57" i="14"/>
  <c r="P49" i="14"/>
  <c r="P48" i="14"/>
  <c r="P54" i="14"/>
  <c r="P45" i="14"/>
  <c r="AW57" i="8" l="1"/>
  <c r="BA57" i="8"/>
  <c r="AI57" i="8" s="1"/>
  <c r="E56" i="8" a="1"/>
  <c r="E56" i="8" s="1"/>
  <c r="H56" i="8" s="1"/>
  <c r="I56" i="8" s="1"/>
  <c r="AM56" i="8"/>
  <c r="AQ56" i="8" s="1" a="1"/>
  <c r="AQ56" i="8" s="1"/>
  <c r="G57" i="8" a="1"/>
  <c r="G57" i="8" s="1"/>
  <c r="C57" i="8" a="1"/>
  <c r="C57" i="8" s="1"/>
  <c r="AS57" i="8"/>
  <c r="AB57" i="8"/>
  <c r="F57" i="8"/>
  <c r="B58" i="8"/>
  <c r="Q57" i="8"/>
  <c r="AC57" i="8"/>
  <c r="AD57" i="8"/>
  <c r="H55" i="8"/>
  <c r="I55" i="8" s="1"/>
  <c r="Q67" i="14"/>
  <c r="R62" i="14"/>
  <c r="Q49" i="14"/>
  <c r="Q53" i="14"/>
  <c r="Q59" i="14"/>
  <c r="Q57" i="14"/>
  <c r="Q58" i="14"/>
  <c r="Q46" i="14"/>
  <c r="Q54" i="14"/>
  <c r="Q45" i="14"/>
  <c r="Q51" i="14"/>
  <c r="R42" i="14"/>
  <c r="Q47" i="14"/>
  <c r="Q50" i="14"/>
  <c r="Q48" i="14"/>
  <c r="Q52" i="14"/>
  <c r="Q55" i="14"/>
  <c r="Q56" i="14"/>
  <c r="AW58" i="8" l="1"/>
  <c r="BA58" i="8"/>
  <c r="AI58" i="8" s="1"/>
  <c r="E57" i="8" a="1"/>
  <c r="E57" i="8" s="1"/>
  <c r="H57" i="8" s="1"/>
  <c r="I57" i="8" s="1"/>
  <c r="AM57" i="8"/>
  <c r="AQ57" i="8" s="1" a="1"/>
  <c r="AQ57" i="8" s="1"/>
  <c r="G58" i="8" a="1"/>
  <c r="G58" i="8" s="1"/>
  <c r="C58" i="8" a="1"/>
  <c r="C58" i="8" s="1"/>
  <c r="AS58" i="8"/>
  <c r="AB58" i="8"/>
  <c r="Q58" i="8"/>
  <c r="AC58" i="8"/>
  <c r="AD58" i="8"/>
  <c r="B59" i="8"/>
  <c r="F58" i="8"/>
  <c r="R67" i="14"/>
  <c r="S62" i="14"/>
  <c r="R58" i="14"/>
  <c r="R56" i="14"/>
  <c r="R52" i="14"/>
  <c r="R51" i="14"/>
  <c r="R55" i="14"/>
  <c r="R47" i="14"/>
  <c r="R57" i="14"/>
  <c r="R50" i="14"/>
  <c r="S42" i="14"/>
  <c r="R48" i="14"/>
  <c r="R49" i="14"/>
  <c r="R45" i="14"/>
  <c r="R59" i="14"/>
  <c r="R53" i="14"/>
  <c r="R46" i="14"/>
  <c r="R54" i="14"/>
  <c r="AW59" i="8" l="1"/>
  <c r="BA59" i="8"/>
  <c r="AI59" i="8" s="1"/>
  <c r="E58" i="8" a="1"/>
  <c r="E58" i="8" s="1"/>
  <c r="H58" i="8" s="1"/>
  <c r="I58" i="8" s="1"/>
  <c r="AM58" i="8"/>
  <c r="AQ58" i="8" s="1" a="1"/>
  <c r="AQ58" i="8" s="1"/>
  <c r="G59" i="8" a="1"/>
  <c r="G59" i="8" s="1"/>
  <c r="C59" i="8" a="1"/>
  <c r="C59" i="8" s="1"/>
  <c r="AS59" i="8"/>
  <c r="AB59" i="8"/>
  <c r="AC59" i="8"/>
  <c r="Q59" i="8"/>
  <c r="AD59" i="8"/>
  <c r="F59" i="8"/>
  <c r="B60" i="8"/>
  <c r="T62" i="14"/>
  <c r="S47" i="14"/>
  <c r="S56" i="14"/>
  <c r="S52" i="14"/>
  <c r="S48" i="14"/>
  <c r="S57" i="14"/>
  <c r="S59" i="14"/>
  <c r="S49" i="14"/>
  <c r="S45" i="14"/>
  <c r="S58" i="14"/>
  <c r="S54" i="14"/>
  <c r="S50" i="14"/>
  <c r="S46" i="14"/>
  <c r="S53" i="14"/>
  <c r="S55" i="14"/>
  <c r="S51" i="14"/>
  <c r="AW60" i="8" l="1"/>
  <c r="BA60" i="8"/>
  <c r="AI60" i="8" s="1"/>
  <c r="E59" i="8" a="1"/>
  <c r="E59" i="8" s="1"/>
  <c r="H59" i="8" s="1"/>
  <c r="I59" i="8" s="1"/>
  <c r="AM59" i="8"/>
  <c r="AQ59" i="8" s="1" a="1"/>
  <c r="AQ59" i="8" s="1"/>
  <c r="B61" i="8"/>
  <c r="G60" i="8" a="1"/>
  <c r="G60" i="8" s="1"/>
  <c r="C60" i="8" a="1"/>
  <c r="C60" i="8" s="1"/>
  <c r="AS60" i="8"/>
  <c r="AB60" i="8"/>
  <c r="Q60" i="8"/>
  <c r="AC60" i="8"/>
  <c r="F60" i="8"/>
  <c r="AD60" i="8"/>
  <c r="T67" i="14"/>
  <c r="T76" i="14"/>
  <c r="U62" i="14"/>
  <c r="AW61" i="8" l="1"/>
  <c r="BA61" i="8"/>
  <c r="AI61" i="8" s="1"/>
  <c r="E60" i="8" a="1"/>
  <c r="E60" i="8" s="1"/>
  <c r="H60" i="8" s="1"/>
  <c r="AM60" i="8"/>
  <c r="AQ60" i="8" s="1" a="1"/>
  <c r="AQ60" i="8" s="1"/>
  <c r="F61" i="8"/>
  <c r="AC61" i="8"/>
  <c r="B62" i="8"/>
  <c r="Q61" i="8"/>
  <c r="G62" i="8" a="1"/>
  <c r="G62" i="8" s="1"/>
  <c r="C62" i="8" a="1"/>
  <c r="C62" i="8" s="1"/>
  <c r="G61" i="8" a="1"/>
  <c r="G61" i="8" s="1"/>
  <c r="C61" i="8" a="1"/>
  <c r="C61" i="8" s="1"/>
  <c r="AS61" i="8"/>
  <c r="AB61" i="8"/>
  <c r="AD61" i="8"/>
  <c r="Q62" i="8"/>
  <c r="AC62" i="8"/>
  <c r="B63" i="8"/>
  <c r="AD62" i="8"/>
  <c r="U67" i="14"/>
  <c r="V62" i="14"/>
  <c r="U76" i="14"/>
  <c r="AW63" i="8" l="1"/>
  <c r="BA63" i="8"/>
  <c r="AS62" i="8"/>
  <c r="E62" i="8" s="1" a="1"/>
  <c r="E62" i="8" s="1"/>
  <c r="AW62" i="8"/>
  <c r="BA62" i="8"/>
  <c r="AI62" i="8" s="1"/>
  <c r="F62" i="8"/>
  <c r="E61" i="8" a="1"/>
  <c r="E61" i="8" s="1"/>
  <c r="H61" i="8" s="1"/>
  <c r="AM61" i="8"/>
  <c r="AQ61" i="8" s="1" a="1"/>
  <c r="AQ61" i="8" s="1"/>
  <c r="AB62" i="8"/>
  <c r="G63" i="8" a="1"/>
  <c r="G63" i="8" s="1"/>
  <c r="C63" i="8" a="1"/>
  <c r="C63" i="8" s="1"/>
  <c r="AS63" i="8"/>
  <c r="AB63" i="8"/>
  <c r="T70" i="14"/>
  <c r="F63" i="8"/>
  <c r="Q63" i="8"/>
  <c r="AC63" i="8"/>
  <c r="B64" i="8"/>
  <c r="AD63" i="8"/>
  <c r="V67" i="14"/>
  <c r="V76" i="14"/>
  <c r="AM62" i="8" l="1"/>
  <c r="AQ62" i="8" s="1" a="1"/>
  <c r="AQ62" i="8" s="1"/>
  <c r="AW64" i="8"/>
  <c r="BA64" i="8"/>
  <c r="AI64" i="8" s="1"/>
  <c r="AI63" i="8"/>
  <c r="H62" i="8"/>
  <c r="I62" i="8" s="1"/>
  <c r="E63" i="8" a="1"/>
  <c r="E63" i="8" s="1"/>
  <c r="H63" i="8" s="1"/>
  <c r="I63" i="8" s="1"/>
  <c r="AM63" i="8"/>
  <c r="C64" i="8" a="1"/>
  <c r="C64" i="8" s="1"/>
  <c r="G64" i="8" a="1"/>
  <c r="G64" i="8" s="1"/>
  <c r="AS64" i="8"/>
  <c r="AB64" i="8"/>
  <c r="B65" i="8"/>
  <c r="F64" i="8"/>
  <c r="AD64" i="8"/>
  <c r="Q64" i="8"/>
  <c r="U70" i="14"/>
  <c r="AC64" i="8"/>
  <c r="AW65" i="8" l="1"/>
  <c r="BA65" i="8"/>
  <c r="AI65" i="8" s="1"/>
  <c r="AQ63" i="8" a="1"/>
  <c r="AQ63" i="8" s="1"/>
  <c r="E64" i="8" a="1"/>
  <c r="E64" i="8" s="1"/>
  <c r="H64" i="8" s="1"/>
  <c r="I64" i="8" s="1"/>
  <c r="AM64" i="8"/>
  <c r="AQ64" i="8" s="1" a="1"/>
  <c r="AQ64" i="8" s="1"/>
  <c r="G65" i="8" a="1"/>
  <c r="G65" i="8" s="1"/>
  <c r="C65" i="8" a="1"/>
  <c r="C65" i="8" s="1"/>
  <c r="AS65" i="8"/>
  <c r="AB65" i="8"/>
  <c r="Q65" i="8"/>
  <c r="AC65" i="8"/>
  <c r="B66" i="8"/>
  <c r="AD65" i="8"/>
  <c r="F65" i="8"/>
  <c r="V70" i="14"/>
  <c r="AW66" i="8" l="1"/>
  <c r="BA66" i="8"/>
  <c r="AI66" i="8" s="1"/>
  <c r="E65" i="8" a="1"/>
  <c r="E65" i="8" s="1"/>
  <c r="H65" i="8" s="1"/>
  <c r="I65" i="8" s="1"/>
  <c r="AM65" i="8"/>
  <c r="AQ65" i="8" s="1" a="1"/>
  <c r="AQ65" i="8" s="1"/>
  <c r="AD66" i="8"/>
  <c r="G66" i="8" a="1"/>
  <c r="G66" i="8" s="1"/>
  <c r="C66" i="8" a="1"/>
  <c r="C66" i="8" s="1"/>
  <c r="AS66" i="8"/>
  <c r="AB66" i="8"/>
  <c r="F66" i="8"/>
  <c r="AC66" i="8"/>
  <c r="Q66" i="8"/>
  <c r="B67" i="8"/>
  <c r="AW67" i="8" l="1"/>
  <c r="BA67" i="8"/>
  <c r="AI67" i="8" s="1"/>
  <c r="E66" i="8" a="1"/>
  <c r="E66" i="8" s="1"/>
  <c r="H66" i="8" s="1"/>
  <c r="AM66" i="8"/>
  <c r="AQ66" i="8" s="1" a="1"/>
  <c r="AQ66" i="8" s="1"/>
  <c r="AD67" i="8"/>
  <c r="G67" i="8" a="1"/>
  <c r="G67" i="8" s="1"/>
  <c r="C67" i="8" a="1"/>
  <c r="C67" i="8" s="1"/>
  <c r="AS67" i="8"/>
  <c r="AB67" i="8"/>
  <c r="Q67" i="8"/>
  <c r="F67" i="8"/>
  <c r="AC67" i="8"/>
  <c r="B68" i="8"/>
  <c r="R69" i="14" l="1"/>
  <c r="AW68" i="8"/>
  <c r="BA68" i="8"/>
  <c r="S69" i="14"/>
  <c r="D74" i="14"/>
  <c r="D76" i="14"/>
  <c r="K5" i="16"/>
  <c r="F65" i="14"/>
  <c r="F66" i="14" s="1"/>
  <c r="J24" i="16"/>
  <c r="E61" i="14"/>
  <c r="D41" i="16"/>
  <c r="G65" i="14"/>
  <c r="G66" i="14" s="1"/>
  <c r="K24" i="16"/>
  <c r="E65" i="14"/>
  <c r="E66" i="14" s="1"/>
  <c r="G76" i="14"/>
  <c r="D65" i="14"/>
  <c r="D66" i="14" s="1"/>
  <c r="E76" i="14"/>
  <c r="G74" i="14"/>
  <c r="E74" i="14"/>
  <c r="D61" i="14"/>
  <c r="F74" i="14"/>
  <c r="I76" i="14"/>
  <c r="J5" i="16"/>
  <c r="F76" i="14"/>
  <c r="F61" i="14"/>
  <c r="F69" i="14"/>
  <c r="H65" i="14"/>
  <c r="H66" i="14" s="1"/>
  <c r="D37" i="16"/>
  <c r="H61" i="14"/>
  <c r="E69" i="14"/>
  <c r="G69" i="14"/>
  <c r="D69" i="14"/>
  <c r="J76" i="14"/>
  <c r="G61" i="14"/>
  <c r="I61" i="14"/>
  <c r="J69" i="14"/>
  <c r="I69" i="14"/>
  <c r="H69" i="14"/>
  <c r="N61" i="14"/>
  <c r="L61" i="14"/>
  <c r="M61" i="14"/>
  <c r="J61" i="14"/>
  <c r="K61" i="14"/>
  <c r="O61" i="14"/>
  <c r="L69" i="14"/>
  <c r="P61" i="14"/>
  <c r="K69" i="14"/>
  <c r="Q61" i="14"/>
  <c r="M69" i="14"/>
  <c r="N69" i="14"/>
  <c r="R61" i="14"/>
  <c r="P69" i="14"/>
  <c r="S61" i="14"/>
  <c r="O69" i="14"/>
  <c r="Q69" i="14"/>
  <c r="E23" i="20" a="1"/>
  <c r="E23" i="20" s="1"/>
  <c r="E15" i="20" a="1"/>
  <c r="E15" i="20" s="1"/>
  <c r="E67" i="8" a="1"/>
  <c r="E67" i="8" s="1"/>
  <c r="H67" i="8" s="1"/>
  <c r="I67" i="8" s="1"/>
  <c r="AM67" i="8"/>
  <c r="AQ67" i="8" s="1" a="1"/>
  <c r="AQ67" i="8" s="1"/>
  <c r="G68" i="8" a="1"/>
  <c r="G68" i="8" s="1"/>
  <c r="F35" i="8" s="1"/>
  <c r="C68" i="8" a="1"/>
  <c r="C68" i="8" s="1"/>
  <c r="T41" i="9" s="1"/>
  <c r="V41" i="9" s="1"/>
  <c r="X41" i="9" s="1"/>
  <c r="AS68" i="8"/>
  <c r="AB68" i="8"/>
  <c r="E32" i="20" s="1" a="1"/>
  <c r="E32" i="20" s="1"/>
  <c r="H74" i="14"/>
  <c r="K74" i="14"/>
  <c r="F34" i="16"/>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L3" i="16"/>
  <c r="AD68" i="8"/>
  <c r="E34" i="20" s="1" a="1"/>
  <c r="E34" i="20" s="1"/>
  <c r="AI68" i="8" l="1"/>
  <c r="E68" i="8" a="1"/>
  <c r="E68" i="8" s="1"/>
  <c r="H68" i="8" s="1"/>
  <c r="I68" i="8" s="1"/>
  <c r="AM68" i="8"/>
  <c r="L5" i="16"/>
  <c r="D123" i="9"/>
  <c r="F37" i="16"/>
  <c r="F41" i="16"/>
  <c r="D32" i="16"/>
  <c r="G32" i="6"/>
  <c r="G26" i="6"/>
  <c r="G20" i="6"/>
  <c r="G44" i="6" a="1"/>
  <c r="G44" i="6" s="1"/>
  <c r="G38" i="6" a="1"/>
  <c r="G38" i="6" s="1"/>
  <c r="V18" i="9"/>
  <c r="D15" i="16"/>
  <c r="U18" i="9"/>
  <c r="D130" i="9" l="1"/>
  <c r="D144" i="9" s="1" a="1"/>
  <c r="D144" i="9" s="1"/>
  <c r="F20" i="8" s="1"/>
  <c r="D126" i="9"/>
  <c r="D131" i="9" s="1"/>
  <c r="AQ68" i="8" a="1"/>
  <c r="AQ68" i="8" s="1"/>
  <c r="L24" i="16" s="1"/>
  <c r="E37" i="20" a="1"/>
  <c r="E37" i="20" s="1"/>
  <c r="F162" i="9"/>
  <c r="D55" i="8"/>
  <c r="D67" i="8"/>
  <c r="D64" i="8"/>
  <c r="Z64" i="8" s="1"/>
  <c r="D59" i="8"/>
  <c r="D50" i="8"/>
  <c r="W50" i="8" s="1"/>
  <c r="D58" i="8"/>
  <c r="Z58" i="8" s="1"/>
  <c r="D56" i="8"/>
  <c r="D45" i="8"/>
  <c r="P45" i="8" s="1"/>
  <c r="D48" i="8"/>
  <c r="X48" i="8" s="1"/>
  <c r="D66" i="8"/>
  <c r="W66" i="8" s="1"/>
  <c r="D47" i="8"/>
  <c r="Y47" i="8" s="1"/>
  <c r="F157" i="9"/>
  <c r="F158" i="9"/>
  <c r="F156" i="9"/>
  <c r="F155" i="9"/>
  <c r="D63" i="8"/>
  <c r="W63" i="8" s="1"/>
  <c r="D54" i="8"/>
  <c r="W54" i="8" s="1"/>
  <c r="D46" i="8"/>
  <c r="D62" i="8"/>
  <c r="D53" i="8"/>
  <c r="W53" i="8" s="1"/>
  <c r="D61" i="8"/>
  <c r="W61" i="8" s="1"/>
  <c r="D52" i="8"/>
  <c r="W52" i="8" s="1"/>
  <c r="D60" i="8"/>
  <c r="D51" i="8"/>
  <c r="W51" i="8" s="1"/>
  <c r="D124" i="9"/>
  <c r="D140" i="9" s="1"/>
  <c r="D65" i="8"/>
  <c r="P65" i="8" s="1"/>
  <c r="D57" i="8"/>
  <c r="D49" i="8"/>
  <c r="P49" i="8" s="1"/>
  <c r="D44" i="8"/>
  <c r="D68" i="8"/>
  <c r="P68" i="8" s="1"/>
  <c r="X18" i="9"/>
  <c r="X14" i="9" s="1"/>
  <c r="W14" i="9"/>
  <c r="D141" i="9" l="1"/>
  <c r="C14" i="9"/>
  <c r="C13" i="20"/>
  <c r="C12" i="16"/>
  <c r="D12" i="8"/>
  <c r="W59" i="8"/>
  <c r="Z54" i="8"/>
  <c r="Y50" i="8"/>
  <c r="Z46" i="8"/>
  <c r="X64" i="8"/>
  <c r="Y55" i="8"/>
  <c r="P55" i="8"/>
  <c r="Z55" i="8"/>
  <c r="Y48" i="8"/>
  <c r="K4" i="16"/>
  <c r="J4" i="16"/>
  <c r="P47" i="8"/>
  <c r="X59" i="8"/>
  <c r="X58" i="8"/>
  <c r="P46" i="8"/>
  <c r="P50" i="8"/>
  <c r="X45" i="8"/>
  <c r="Z45" i="8"/>
  <c r="Y45" i="8"/>
  <c r="X46" i="8"/>
  <c r="P59" i="8"/>
  <c r="P48" i="8"/>
  <c r="X50" i="8"/>
  <c r="P61" i="8"/>
  <c r="U80" i="14" s="1"/>
  <c r="W57" i="8"/>
  <c r="Z56" i="8"/>
  <c r="Y67" i="8"/>
  <c r="Y56" i="8"/>
  <c r="W56" i="8"/>
  <c r="W47" i="8"/>
  <c r="X56" i="8"/>
  <c r="Y61" i="8"/>
  <c r="Z47" i="8"/>
  <c r="X55" i="8"/>
  <c r="P64" i="8"/>
  <c r="Z57" i="8"/>
  <c r="W64" i="8"/>
  <c r="X53" i="8"/>
  <c r="Y57" i="8"/>
  <c r="X61" i="8"/>
  <c r="X47" i="8"/>
  <c r="Z63" i="8"/>
  <c r="Y64" i="8"/>
  <c r="X57" i="8"/>
  <c r="Z53" i="8"/>
  <c r="P56" i="8"/>
  <c r="X66" i="8"/>
  <c r="Z59" i="8"/>
  <c r="X68" i="8"/>
  <c r="Y59" i="8"/>
  <c r="W46" i="8"/>
  <c r="Y58" i="8"/>
  <c r="Z48" i="8"/>
  <c r="Z50" i="8"/>
  <c r="Z66" i="8"/>
  <c r="P67" i="8"/>
  <c r="P66" i="8"/>
  <c r="Z67" i="8"/>
  <c r="W48" i="8"/>
  <c r="W67" i="8"/>
  <c r="W55" i="8"/>
  <c r="X62" i="8"/>
  <c r="Y66" i="8"/>
  <c r="X67" i="8"/>
  <c r="W58" i="8"/>
  <c r="Y46" i="8"/>
  <c r="Z61" i="8"/>
  <c r="Y62" i="8"/>
  <c r="P57" i="8"/>
  <c r="P58" i="8"/>
  <c r="Z52" i="8"/>
  <c r="Z62" i="8"/>
  <c r="Y52" i="8"/>
  <c r="X51" i="8"/>
  <c r="Y68" i="8"/>
  <c r="W45" i="8"/>
  <c r="X44" i="8"/>
  <c r="P51" i="8"/>
  <c r="P54" i="8"/>
  <c r="Z65" i="8"/>
  <c r="P53" i="8"/>
  <c r="W62" i="8"/>
  <c r="Y53" i="8"/>
  <c r="P62" i="8"/>
  <c r="X49" i="8"/>
  <c r="Y54" i="8"/>
  <c r="Z49" i="8"/>
  <c r="Z51" i="8"/>
  <c r="X52" i="8"/>
  <c r="Z68" i="8"/>
  <c r="X54" i="8"/>
  <c r="X63" i="8"/>
  <c r="Y49" i="8"/>
  <c r="Y51" i="8"/>
  <c r="P52" i="8"/>
  <c r="W49" i="8"/>
  <c r="Y63" i="8"/>
  <c r="P60" i="8"/>
  <c r="Y60" i="8"/>
  <c r="P63" i="8"/>
  <c r="Z44" i="8"/>
  <c r="Y65" i="8"/>
  <c r="X65" i="8"/>
  <c r="W65" i="8"/>
  <c r="W60" i="8"/>
  <c r="X60" i="8"/>
  <c r="Z60" i="8"/>
  <c r="P44" i="8"/>
  <c r="Y44" i="8"/>
  <c r="W44" i="8"/>
  <c r="W68" i="8"/>
  <c r="O80" i="14"/>
  <c r="D133" i="9" l="1"/>
  <c r="D135" i="9" s="1"/>
  <c r="D146" i="9" s="1"/>
  <c r="E29" i="20" a="1"/>
  <c r="E29" i="20" s="1"/>
  <c r="D80" i="14"/>
  <c r="E27" i="20" a="1"/>
  <c r="E27" i="20" s="1"/>
  <c r="E28" i="20" a="1"/>
  <c r="E28" i="20" s="1"/>
  <c r="E18" i="20" a="1"/>
  <c r="E18" i="20" s="1"/>
  <c r="E26" i="20" a="1"/>
  <c r="E26" i="20" s="1"/>
  <c r="V74" i="14"/>
  <c r="U74" i="14"/>
  <c r="T74" i="14"/>
  <c r="E25" i="20" l="1" a="1"/>
  <c r="E25" i="20" s="1"/>
  <c r="H70" i="14"/>
  <c r="J70" i="14"/>
  <c r="F21" i="8"/>
  <c r="F15" i="8" s="1"/>
  <c r="G15" i="8" s="1" a="1"/>
  <c r="G15" i="8" s="1"/>
  <c r="G30" i="8" s="1"/>
  <c r="AA62" i="8"/>
  <c r="AA67" i="8"/>
  <c r="AA53" i="8"/>
  <c r="M80" i="14" s="1"/>
  <c r="AA59" i="8"/>
  <c r="S80" i="14" s="1"/>
  <c r="AA64" i="8"/>
  <c r="AA56" i="8"/>
  <c r="P80" i="14" s="1"/>
  <c r="AA54" i="8"/>
  <c r="N80" i="14" s="1"/>
  <c r="AA68" i="8"/>
  <c r="AA52" i="8"/>
  <c r="L80" i="14" s="1"/>
  <c r="AA45" i="8"/>
  <c r="E80" i="14" s="1"/>
  <c r="AA50" i="8"/>
  <c r="J80" i="14" s="1"/>
  <c r="D159" i="9"/>
  <c r="AA57" i="8"/>
  <c r="Q80" i="14" s="1"/>
  <c r="AA48" i="8"/>
  <c r="H80" i="14" s="1"/>
  <c r="AA60" i="8"/>
  <c r="T80" i="14" s="1"/>
  <c r="AA58" i="8"/>
  <c r="R80" i="14" s="1"/>
  <c r="AA55" i="8"/>
  <c r="E36" i="16" s="1"/>
  <c r="AA65" i="8"/>
  <c r="AA61" i="8"/>
  <c r="AA44" i="8"/>
  <c r="AA47" i="8"/>
  <c r="G80" i="14" s="1"/>
  <c r="AA66" i="8"/>
  <c r="AA63" i="8"/>
  <c r="AA51" i="8"/>
  <c r="K80" i="14" s="1"/>
  <c r="AA49" i="8"/>
  <c r="I80" i="14" s="1"/>
  <c r="AA46" i="8"/>
  <c r="F80" i="14" s="1"/>
  <c r="D136" i="9"/>
  <c r="D148" i="9" s="1"/>
  <c r="E70" i="14" l="1"/>
  <c r="Q70" i="14"/>
  <c r="N70" i="14"/>
  <c r="E30" i="20" a="1"/>
  <c r="E30" i="20" s="1"/>
  <c r="N44" i="8" a="1"/>
  <c r="N44" i="8" s="1"/>
  <c r="N55" i="8" a="1"/>
  <c r="N55" i="8" s="1"/>
  <c r="N63" i="8" a="1"/>
  <c r="N63" i="8" s="1"/>
  <c r="N45" i="8" a="1"/>
  <c r="N45" i="8" s="1"/>
  <c r="N56" i="8" a="1"/>
  <c r="N56" i="8" s="1"/>
  <c r="N64" i="8" a="1"/>
  <c r="N64" i="8" s="1"/>
  <c r="N49" i="8" a="1"/>
  <c r="N49" i="8" s="1"/>
  <c r="N57" i="8" a="1"/>
  <c r="N57" i="8" s="1"/>
  <c r="N65" i="8" a="1"/>
  <c r="N65" i="8" s="1"/>
  <c r="N66" i="8" a="1"/>
  <c r="N66" i="8" s="1"/>
  <c r="N50" i="8" a="1"/>
  <c r="N50" i="8" s="1"/>
  <c r="N58" i="8" a="1"/>
  <c r="N58" i="8" s="1"/>
  <c r="N51" i="8" a="1"/>
  <c r="N51" i="8" s="1"/>
  <c r="N59" i="8" a="1"/>
  <c r="N59" i="8" s="1"/>
  <c r="N67" i="8" a="1"/>
  <c r="N67" i="8" s="1"/>
  <c r="N47" i="8" a="1"/>
  <c r="N47" i="8" s="1"/>
  <c r="N52" i="8" a="1"/>
  <c r="N52" i="8" s="1"/>
  <c r="N61" i="8" a="1"/>
  <c r="N61" i="8" s="1"/>
  <c r="N68" i="8"/>
  <c r="N46" i="8" a="1"/>
  <c r="N46" i="8" s="1"/>
  <c r="N53" i="8" a="1"/>
  <c r="N53" i="8" s="1"/>
  <c r="N60" i="8" a="1"/>
  <c r="N60" i="8" s="1"/>
  <c r="N48" i="8" a="1"/>
  <c r="N48" i="8" s="1"/>
  <c r="N54" i="8" a="1"/>
  <c r="N54" i="8" s="1"/>
  <c r="N62" i="8" a="1"/>
  <c r="N62" i="8" s="1"/>
  <c r="P70" i="14"/>
  <c r="D70" i="14"/>
  <c r="D36" i="16"/>
  <c r="K70" i="14"/>
  <c r="F159" i="9"/>
  <c r="F28" i="8"/>
  <c r="D160" i="9"/>
  <c r="F160" i="9" s="1"/>
  <c r="R70" i="14"/>
  <c r="F36" i="16"/>
  <c r="E24" i="20" a="1"/>
  <c r="E24" i="20" s="1"/>
  <c r="O70" i="14"/>
  <c r="S70" i="14"/>
  <c r="G70" i="14"/>
  <c r="I70" i="14"/>
  <c r="L70" i="14"/>
  <c r="M70" i="14"/>
  <c r="F70" i="14"/>
  <c r="U75" i="14"/>
  <c r="T75" i="14"/>
  <c r="V75" i="14"/>
  <c r="L75" i="14" l="1"/>
  <c r="E75" i="14"/>
  <c r="O75" i="14"/>
  <c r="F75" i="14"/>
  <c r="G75" i="14"/>
  <c r="R75" i="14"/>
  <c r="Q75" i="14"/>
  <c r="K75" i="14"/>
  <c r="I75" i="14"/>
  <c r="N75" i="14"/>
  <c r="D75" i="14"/>
  <c r="P75" i="14"/>
  <c r="O59" i="8"/>
  <c r="T59" i="8" s="1"/>
  <c r="O56" i="8"/>
  <c r="T56" i="8" s="1"/>
  <c r="O48" i="8"/>
  <c r="T48" i="8" s="1"/>
  <c r="O54" i="8"/>
  <c r="T54" i="8" s="1"/>
  <c r="O52" i="8"/>
  <c r="T52" i="8" s="1"/>
  <c r="O49" i="8"/>
  <c r="T49" i="8" s="1"/>
  <c r="O45" i="8"/>
  <c r="T45" i="8" s="1"/>
  <c r="O55" i="8"/>
  <c r="E40" i="16" s="1"/>
  <c r="E42" i="16" s="1"/>
  <c r="O57" i="8"/>
  <c r="T57" i="8" s="1"/>
  <c r="O68" i="8"/>
  <c r="T68" i="8" s="1"/>
  <c r="O53" i="8"/>
  <c r="T53" i="8" s="1"/>
  <c r="O44" i="8"/>
  <c r="O63" i="8"/>
  <c r="T63" i="8" s="1"/>
  <c r="O67" i="8"/>
  <c r="T67" i="8" s="1"/>
  <c r="O50" i="8"/>
  <c r="T50" i="8" s="1"/>
  <c r="O46" i="8"/>
  <c r="T46" i="8" s="1"/>
  <c r="O65" i="8"/>
  <c r="T65" i="8" s="1"/>
  <c r="O58" i="8"/>
  <c r="T58" i="8" s="1"/>
  <c r="O66" i="8"/>
  <c r="T66" i="8" s="1"/>
  <c r="O51" i="8"/>
  <c r="T51" i="8" s="1"/>
  <c r="O47" i="8"/>
  <c r="T47" i="8" s="1"/>
  <c r="O62" i="8"/>
  <c r="T62" i="8" s="1"/>
  <c r="O64" i="8"/>
  <c r="T64" i="8" s="1"/>
  <c r="O61" i="8"/>
  <c r="T61" i="8" s="1"/>
  <c r="O60" i="8"/>
  <c r="T60" i="8" s="1"/>
  <c r="D161" i="9"/>
  <c r="H75" i="14"/>
  <c r="S75" i="14"/>
  <c r="M75" i="14"/>
  <c r="J75" i="14"/>
  <c r="E16" i="20" a="1"/>
  <c r="T65" i="14"/>
  <c r="T66" i="14" s="1"/>
  <c r="T55" i="8" l="1"/>
  <c r="D40" i="16"/>
  <c r="D42" i="16" s="1"/>
  <c r="E17" i="20" a="1"/>
  <c r="E17" i="20" s="1"/>
  <c r="D163" i="9"/>
  <c r="F163" i="9" s="1"/>
  <c r="F161" i="9"/>
  <c r="F40" i="16"/>
  <c r="F42" i="16" s="1"/>
  <c r="E16" i="20"/>
  <c r="T44" i="8"/>
  <c r="U65" i="14"/>
  <c r="U66" i="14" s="1"/>
  <c r="Y21" i="20" l="1"/>
  <c r="Y31" i="20" s="1"/>
  <c r="Y36" i="20" s="1"/>
  <c r="Y38" i="20" s="1"/>
  <c r="AB21" i="20"/>
  <c r="AB31" i="20" s="1"/>
  <c r="AB36" i="20" s="1"/>
  <c r="AB38" i="20" s="1"/>
  <c r="AA21" i="20"/>
  <c r="AA31" i="20" s="1"/>
  <c r="AA36" i="20" s="1"/>
  <c r="AA38" i="20" s="1"/>
  <c r="O21" i="20"/>
  <c r="O31" i="20" s="1"/>
  <c r="O36" i="20" s="1"/>
  <c r="O38" i="20" s="1"/>
  <c r="N21" i="20"/>
  <c r="N31" i="20" s="1"/>
  <c r="N36" i="20" s="1"/>
  <c r="N38" i="20" s="1"/>
  <c r="P21" i="20"/>
  <c r="P31" i="20" s="1"/>
  <c r="P36" i="20" s="1"/>
  <c r="P38" i="20" s="1"/>
  <c r="Q21" i="20"/>
  <c r="Q31" i="20" s="1"/>
  <c r="Q36" i="20" s="1"/>
  <c r="Q38" i="20" s="1"/>
  <c r="X21" i="20"/>
  <c r="X31" i="20" s="1"/>
  <c r="X36" i="20" s="1"/>
  <c r="X38" i="20" s="1"/>
  <c r="M21" i="20"/>
  <c r="M31" i="20" s="1"/>
  <c r="M36" i="20" s="1"/>
  <c r="M38" i="20" s="1"/>
  <c r="R21" i="20"/>
  <c r="R31" i="20" s="1"/>
  <c r="R36" i="20" s="1"/>
  <c r="R38" i="20" s="1"/>
  <c r="E21" i="20"/>
  <c r="E31" i="20" s="1"/>
  <c r="E36" i="20" s="1"/>
  <c r="E38" i="20" s="1"/>
  <c r="Z21" i="20"/>
  <c r="Z31" i="20" s="1"/>
  <c r="Z36" i="20" s="1"/>
  <c r="Z38" i="20" s="1"/>
  <c r="U21" i="20"/>
  <c r="U31" i="20" s="1"/>
  <c r="U36" i="20" s="1"/>
  <c r="U38" i="20" s="1"/>
  <c r="G21" i="20"/>
  <c r="G31" i="20" s="1"/>
  <c r="G36" i="20" s="1"/>
  <c r="G38" i="20" s="1"/>
  <c r="T21" i="20"/>
  <c r="T31" i="20" s="1"/>
  <c r="T36" i="20" s="1"/>
  <c r="T38" i="20" s="1"/>
  <c r="S21" i="20"/>
  <c r="S31" i="20" s="1"/>
  <c r="S36" i="20" s="1"/>
  <c r="S38" i="20" s="1"/>
  <c r="V21" i="20"/>
  <c r="V31" i="20" s="1"/>
  <c r="V36" i="20" s="1"/>
  <c r="V38" i="20" s="1"/>
  <c r="AC21" i="20"/>
  <c r="AC31" i="20" s="1"/>
  <c r="AC36" i="20" s="1"/>
  <c r="AC38" i="20" s="1"/>
  <c r="L21" i="20"/>
  <c r="L31" i="20" s="1"/>
  <c r="L36" i="20" s="1"/>
  <c r="L38" i="20" s="1"/>
  <c r="W21" i="20"/>
  <c r="W31" i="20" s="1"/>
  <c r="W36" i="20" s="1"/>
  <c r="W38" i="20" s="1"/>
  <c r="J21" i="20"/>
  <c r="J31" i="20" s="1"/>
  <c r="J36" i="20" s="1"/>
  <c r="J38" i="20" s="1"/>
  <c r="H21" i="20"/>
  <c r="H31" i="20" s="1"/>
  <c r="H36" i="20" s="1"/>
  <c r="H38" i="20" s="1"/>
  <c r="I21" i="20"/>
  <c r="I31" i="20" s="1"/>
  <c r="I36" i="20" s="1"/>
  <c r="I38" i="20" s="1"/>
  <c r="K21" i="20"/>
  <c r="K31" i="20" s="1"/>
  <c r="K36" i="20" s="1"/>
  <c r="K38" i="20" s="1"/>
  <c r="F21" i="20"/>
  <c r="F31" i="20" s="1"/>
  <c r="F36" i="20" s="1"/>
  <c r="F38" i="20" s="1"/>
  <c r="V65" i="14"/>
  <c r="V66" i="14" s="1"/>
  <c r="AT44" i="8" l="1"/>
  <c r="I45" i="8" s="1"/>
  <c r="AT45" i="8" l="1"/>
  <c r="I46" i="8" s="1"/>
  <c r="AU45" i="8"/>
  <c r="AV45" i="8" s="1"/>
  <c r="AX45" i="8" l="1"/>
  <c r="AY45" i="8"/>
  <c r="AZ45" i="8" s="1"/>
  <c r="BB45" i="8" s="1"/>
  <c r="AG45" i="8" l="1"/>
  <c r="AR45" i="8"/>
  <c r="J45" i="8"/>
  <c r="K45" i="8" s="1"/>
  <c r="AY46" i="8"/>
  <c r="AT46" i="8"/>
  <c r="I47" i="8" s="1"/>
  <c r="AU46" i="8"/>
  <c r="AV46" i="8" s="1"/>
  <c r="AX46" i="8" l="1"/>
  <c r="AH45" i="8"/>
  <c r="AZ46" i="8"/>
  <c r="BB46" i="8" s="1"/>
  <c r="AH44" i="8"/>
  <c r="AG46" i="8" l="1"/>
  <c r="D38" i="16" s="1"/>
  <c r="D39" i="16" s="1"/>
  <c r="AJ44" i="8"/>
  <c r="AK44" i="8" s="1"/>
  <c r="BD44" i="8" s="1"/>
  <c r="AN44" i="8"/>
  <c r="AO44" i="8" s="1"/>
  <c r="AP44" i="8" s="1"/>
  <c r="AR46" i="8"/>
  <c r="J23" i="16" s="1"/>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AR49" i="8"/>
  <c r="K50" i="8"/>
  <c r="I79" i="14"/>
  <c r="AU51" i="8"/>
  <c r="AV51" i="8" s="1"/>
  <c r="AX51" i="8" s="1"/>
  <c r="AT52" i="8"/>
  <c r="AL48" i="8" l="1"/>
  <c r="L48" i="8" s="1"/>
  <c r="BC48" i="8"/>
  <c r="M48" i="8" s="1"/>
  <c r="AN49" i="8"/>
  <c r="AO49" i="8" s="1"/>
  <c r="AP49" i="8" s="1"/>
  <c r="AJ49" i="8"/>
  <c r="AK49" i="8" s="1"/>
  <c r="BC49" i="8" s="1"/>
  <c r="M49" i="8" s="1"/>
  <c r="AG50" i="8"/>
  <c r="AH50" i="8" s="1"/>
  <c r="AY51" i="8"/>
  <c r="AU52" i="8"/>
  <c r="AV52" i="8" s="1"/>
  <c r="BD49" i="8" l="1"/>
  <c r="AL49" i="8"/>
  <c r="L49" i="8" s="1"/>
  <c r="AJ50" i="8"/>
  <c r="AK50" i="8" s="1"/>
  <c r="BD50" i="8" s="1"/>
  <c r="AN50" i="8"/>
  <c r="AO50" i="8" s="1"/>
  <c r="AP50" i="8" s="1"/>
  <c r="AX52" i="8"/>
  <c r="AZ51" i="8"/>
  <c r="AT53" i="8"/>
  <c r="AL50" i="8" l="1"/>
  <c r="L50" i="8" s="1"/>
  <c r="BC50" i="8"/>
  <c r="M50" i="8" s="1"/>
  <c r="BB51" i="8"/>
  <c r="AG51" i="8" s="1"/>
  <c r="AH51" i="8" s="1"/>
  <c r="J51" i="8"/>
  <c r="K51" i="8" s="1"/>
  <c r="J79" i="14"/>
  <c r="AY52" i="8"/>
  <c r="AZ52" i="8" s="1"/>
  <c r="J52" i="8" s="1"/>
  <c r="AU53" i="8"/>
  <c r="AV53" i="8" s="1"/>
  <c r="AN51" i="8" l="1"/>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E38" i="16" s="1"/>
  <c r="E39" i="16" s="1"/>
  <c r="AJ54" i="8"/>
  <c r="AK54" i="8" s="1"/>
  <c r="BD54" i="8" s="1"/>
  <c r="AN54" i="8"/>
  <c r="AO54" i="8" s="1"/>
  <c r="AP54" i="8" s="1"/>
  <c r="J55" i="8"/>
  <c r="K55" i="8" s="1"/>
  <c r="AV56" i="8"/>
  <c r="AX56" i="8" s="1"/>
  <c r="AT59" i="8"/>
  <c r="I60" i="8" s="1"/>
  <c r="AR55" i="8" l="1"/>
  <c r="K23" i="16" s="1"/>
  <c r="BC54" i="8"/>
  <c r="M54" i="8" s="1"/>
  <c r="AL54" i="8"/>
  <c r="L54" i="8" s="1"/>
  <c r="AT60" i="8"/>
  <c r="I61" i="8" s="1"/>
  <c r="N79" i="14"/>
  <c r="AH55" i="8"/>
  <c r="AZ56" i="8"/>
  <c r="AY57" i="8" s="1"/>
  <c r="AU57" i="8"/>
  <c r="BB56" i="8" l="1"/>
  <c r="J56" i="8"/>
  <c r="K56" i="8" s="1"/>
  <c r="AN55" i="8"/>
  <c r="AO55" i="8" s="1"/>
  <c r="AP55" i="8" s="1"/>
  <c r="AJ55" i="8"/>
  <c r="AK55" i="8" s="1"/>
  <c r="AL55" i="8" s="1"/>
  <c r="L55" i="8" s="1"/>
  <c r="O79" i="14"/>
  <c r="AV57" i="8"/>
  <c r="AT61" i="8"/>
  <c r="AR56" i="8" l="1"/>
  <c r="AG56" i="8"/>
  <c r="AH56" i="8" s="1"/>
  <c r="AN56" i="8" s="1"/>
  <c r="AO56" i="8" s="1"/>
  <c r="AP56" i="8" s="1"/>
  <c r="BD55" i="8"/>
  <c r="BC55" i="8"/>
  <c r="M55" i="8" s="1"/>
  <c r="AX57" i="8"/>
  <c r="AT62" i="8"/>
  <c r="P79" i="14"/>
  <c r="AZ57" i="8"/>
  <c r="J57" i="8" s="1"/>
  <c r="K57" i="8" s="1"/>
  <c r="AU58" i="8"/>
  <c r="AV58" i="8" s="1"/>
  <c r="AJ56" i="8" l="1"/>
  <c r="AK56" i="8" s="1"/>
  <c r="BC56" i="8" s="1"/>
  <c r="M56" i="8" s="1"/>
  <c r="AX58" i="8"/>
  <c r="AY58" i="8"/>
  <c r="AZ58" i="8" s="1"/>
  <c r="J58" i="8" s="1"/>
  <c r="K58" i="8" s="1"/>
  <c r="BB57" i="8"/>
  <c r="AG57" i="8" s="1"/>
  <c r="AT63" i="8"/>
  <c r="AU59" i="8"/>
  <c r="AL56" i="8" l="1"/>
  <c r="L56" i="8" s="1"/>
  <c r="BD56" i="8"/>
  <c r="BB58" i="8"/>
  <c r="AG58" i="8" s="1"/>
  <c r="AH58" i="8" s="1"/>
  <c r="AR57" i="8"/>
  <c r="AV59" i="8"/>
  <c r="AH57" i="8"/>
  <c r="AY59" i="8"/>
  <c r="AR58" i="8" l="1"/>
  <c r="AN58" i="8"/>
  <c r="AO58" i="8" s="1"/>
  <c r="AJ58" i="8"/>
  <c r="AK58" i="8" s="1"/>
  <c r="BC58" i="8" s="1"/>
  <c r="AX59" i="8"/>
  <c r="AJ57" i="8"/>
  <c r="AK57" i="8" s="1"/>
  <c r="BD57" i="8" s="1"/>
  <c r="AN57" i="8"/>
  <c r="AO57" i="8" s="1"/>
  <c r="AP57" i="8" s="1"/>
  <c r="R79" i="14"/>
  <c r="AT64" i="8"/>
  <c r="AZ59" i="8"/>
  <c r="J59" i="8" s="1"/>
  <c r="K59" i="8" s="1"/>
  <c r="AU60" i="8"/>
  <c r="AL57" i="8" l="1"/>
  <c r="AL58" i="8" s="1"/>
  <c r="L58" i="8" s="1"/>
  <c r="BD58" i="8"/>
  <c r="M58" i="8"/>
  <c r="BB59" i="8"/>
  <c r="AG59" i="8" s="1"/>
  <c r="BC57" i="8"/>
  <c r="M57" i="8" s="1"/>
  <c r="AY60" i="8"/>
  <c r="AT65" i="8"/>
  <c r="I66" i="8" s="1"/>
  <c r="AV60" i="8"/>
  <c r="AX60" i="8" s="1"/>
  <c r="Q79" i="14"/>
  <c r="AP58" i="8"/>
  <c r="L57" i="8" l="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H62" i="8" s="1"/>
  <c r="AL61" i="8"/>
  <c r="L61" i="8" s="1"/>
  <c r="BC61" i="8"/>
  <c r="M61" i="8" s="1"/>
  <c r="V69" i="14"/>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AH65" i="8" s="1"/>
  <c r="BD64" i="8"/>
  <c r="BC64" i="8"/>
  <c r="M64" i="8" s="1"/>
  <c r="AY66" i="8"/>
  <c r="J65" i="8"/>
  <c r="K65" i="8" s="1"/>
  <c r="AR65" i="8"/>
  <c r="AV66" i="8"/>
  <c r="AJ65" i="8" l="1"/>
  <c r="AK65" i="8" s="1"/>
  <c r="AL65" i="8" s="1"/>
  <c r="L65" i="8" s="1"/>
  <c r="AN65" i="8"/>
  <c r="AO65" i="8" s="1"/>
  <c r="AP65" i="8" s="1"/>
  <c r="AZ66" i="8"/>
  <c r="BB66" i="8" s="1"/>
  <c r="AX66" i="8"/>
  <c r="AU67" i="8"/>
  <c r="AG66" i="8" l="1"/>
  <c r="AH66" i="8" s="1"/>
  <c r="BC65" i="8"/>
  <c r="M65" i="8" s="1"/>
  <c r="AY67" i="8"/>
  <c r="J66" i="8"/>
  <c r="K66" i="8" s="1"/>
  <c r="AR66" i="8"/>
  <c r="BD65" i="8"/>
  <c r="AV67"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R68" i="8"/>
  <c r="L23" i="16" s="1"/>
  <c r="AN67" i="8"/>
  <c r="AO67" i="8" s="1"/>
  <c r="AP67" i="8" s="1"/>
  <c r="AJ67" i="8"/>
  <c r="AK67" i="8" s="1"/>
  <c r="BC67" i="8" s="1"/>
  <c r="M67" i="8" s="1"/>
  <c r="E39" i="20" l="1"/>
  <c r="E42" i="20" s="1"/>
  <c r="E43" i="20" s="1"/>
  <c r="H42" i="20"/>
  <c r="W42" i="20"/>
  <c r="AC42" i="20"/>
  <c r="I42" i="20"/>
  <c r="K42" i="20"/>
  <c r="F42" i="20"/>
  <c r="T42" i="20"/>
  <c r="M42" i="20"/>
  <c r="O42" i="20"/>
  <c r="Y42" i="20"/>
  <c r="L42" i="20"/>
  <c r="V42" i="20"/>
  <c r="AA42" i="20"/>
  <c r="Z42" i="20"/>
  <c r="J42" i="20"/>
  <c r="P42" i="20"/>
  <c r="Q42" i="20"/>
  <c r="AB42" i="20"/>
  <c r="U42" i="20"/>
  <c r="R42" i="20"/>
  <c r="N42" i="20"/>
  <c r="S42" i="20"/>
  <c r="G42" i="20"/>
  <c r="X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b/>
            <sz val="8"/>
            <color indexed="81"/>
            <rFont val="Tahoma"/>
            <family val="2"/>
          </rPr>
          <t>Gewichteter Mischindex aus allen Betriebskosten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<sst xmlns="http://schemas.openxmlformats.org/spreadsheetml/2006/main" count="1620" uniqueCount="968">
  <si>
    <t xml:space="preserve"> </t>
  </si>
  <si>
    <t>Förderung</t>
  </si>
  <si>
    <t>Erläuterung</t>
  </si>
  <si>
    <t>Einheiten</t>
  </si>
  <si>
    <t>Eingabefeld</t>
  </si>
  <si>
    <t>Warnung</t>
  </si>
  <si>
    <t>Warnungen:</t>
  </si>
  <si>
    <t>% der Wärmemenge</t>
  </si>
  <si>
    <t>Arbeitspreis</t>
  </si>
  <si>
    <t>Laufzeit des Kredits in Jahren</t>
  </si>
  <si>
    <t>Kreditzinssatz</t>
  </si>
  <si>
    <t>Jahr</t>
  </si>
  <si>
    <t>%</t>
  </si>
  <si>
    <t>MWh/a</t>
  </si>
  <si>
    <t xml:space="preserve">Preis fossiler Brennstoff </t>
  </si>
  <si>
    <t>Strompreis</t>
  </si>
  <si>
    <t>Min</t>
  </si>
  <si>
    <t>Max</t>
  </si>
  <si>
    <t>Jahre</t>
  </si>
  <si>
    <t>Investitionskosten</t>
  </si>
  <si>
    <t>Übers.</t>
  </si>
  <si>
    <t>Unters.</t>
  </si>
  <si>
    <t>Brennstoff Biomasse</t>
  </si>
  <si>
    <t>MWh</t>
  </si>
  <si>
    <t>Brennstoff fossil</t>
  </si>
  <si>
    <t>Gesamte Investitionskosten</t>
  </si>
  <si>
    <t>Jahr des Projektbeginns</t>
  </si>
  <si>
    <t>Basisjahr für Investitionen - wird als Jahr 0 für die Wirtschaftlichkeitsrechnung herangezogen</t>
  </si>
  <si>
    <t>Miete /Pacht / Grundstückskosten</t>
  </si>
  <si>
    <t>Sonstige (Versicherung etc.)</t>
  </si>
  <si>
    <t>[JJJJ]</t>
  </si>
  <si>
    <t>Aus-lastung</t>
  </si>
  <si>
    <t>MinText</t>
  </si>
  <si>
    <t>MaxText</t>
  </si>
  <si>
    <t>SonstText</t>
  </si>
  <si>
    <t>S.Fehler</t>
  </si>
  <si>
    <t>Sonstige
+ Miete/
Pacht</t>
  </si>
  <si>
    <t>Abkürzungen</t>
  </si>
  <si>
    <t>CHF/MWh</t>
  </si>
  <si>
    <t>CHF</t>
  </si>
  <si>
    <t>CHF/a</t>
  </si>
  <si>
    <t>CHF/MWh erzeugte Energie</t>
  </si>
  <si>
    <t>CHF/kWh</t>
  </si>
  <si>
    <t>Projekt/Variante:</t>
  </si>
  <si>
    <t>Erfasst von:</t>
  </si>
  <si>
    <t>Eingaben Verbraucher</t>
  </si>
  <si>
    <t>Allgemeines</t>
  </si>
  <si>
    <t>Nummer</t>
  </si>
  <si>
    <t>Bezeichnung</t>
  </si>
  <si>
    <t>Gesamtwärmebedarf [MWh/a]</t>
  </si>
  <si>
    <t>abonnierte Leistung [kW]</t>
  </si>
  <si>
    <t>Anschluss</t>
  </si>
  <si>
    <t>Anschlussjahr</t>
  </si>
  <si>
    <t>Tarif</t>
  </si>
  <si>
    <t>Wärmepreis-Tarif</t>
  </si>
  <si>
    <t>Anschlusskosten (einmalig) [CHF]</t>
  </si>
  <si>
    <t>Tarif 1</t>
  </si>
  <si>
    <t>Tarif 2</t>
  </si>
  <si>
    <t>Tarif 3</t>
  </si>
  <si>
    <t>Tarifname</t>
  </si>
  <si>
    <t>Leistungstarif [CHF/kW]</t>
  </si>
  <si>
    <t>Tarif 4</t>
  </si>
  <si>
    <t>a</t>
  </si>
  <si>
    <t>Wärmenetz inkl. Tiefbau</t>
  </si>
  <si>
    <t>Kredit/Darlehen</t>
  </si>
  <si>
    <t>Einmaliger Förderbeitrag Paket 1</t>
  </si>
  <si>
    <t>Einmaliger Förderbeitrag Paket 2</t>
  </si>
  <si>
    <t>Einmalige Förderung (z.B. Kantonale Förderung)</t>
  </si>
  <si>
    <t>(exkl. MWST)</t>
  </si>
  <si>
    <t>Hilfsenergie (Strom)</t>
  </si>
  <si>
    <t>% der produzierten Wärme</t>
  </si>
  <si>
    <t>Baukosten Gebäude Umgebung</t>
  </si>
  <si>
    <t>QM Holzheizwerke - Wirtschaftlichkeitsmodell - Eingabe Verbraucher</t>
  </si>
  <si>
    <t>QM Holzheizwerke - Wirtschaftlichkeitsmodell - Ergebnis</t>
  </si>
  <si>
    <t>Fremdfinanzierung</t>
  </si>
  <si>
    <t>Allgemeine Teuerung</t>
  </si>
  <si>
    <t>Effektiver Aufwand</t>
  </si>
  <si>
    <t>Mehrjährige Förderung (z.B. KliK)</t>
  </si>
  <si>
    <t>Jahresnutzungsgrad Kessel fossil</t>
  </si>
  <si>
    <t>Schlüsselkunden (oder Gruppe von Schlüsselkunden gleicher Charakteristik)</t>
  </si>
  <si>
    <t>Gebäudetyp &amp; Bezugscharakteristik</t>
  </si>
  <si>
    <t>Leistung [kW]</t>
  </si>
  <si>
    <t>Jahreswärmebedarf [MWh/a]</t>
  </si>
  <si>
    <t>Wärmegestehungspreis [Rp/kWh]</t>
  </si>
  <si>
    <t>Teuerung [%]</t>
  </si>
  <si>
    <t>Wärmepreis</t>
  </si>
  <si>
    <t>Startjahr</t>
  </si>
  <si>
    <t>Jahr der Förderungsauszahlung</t>
  </si>
  <si>
    <t>Unterhaltskosten</t>
  </si>
  <si>
    <t>Betriebskosten</t>
  </si>
  <si>
    <t>Holzspezifische Anlagenteile</t>
  </si>
  <si>
    <t>Spitzenlastspezifische Anlagenteile</t>
  </si>
  <si>
    <t>Installationen Zentrale</t>
  </si>
  <si>
    <t>Gesamter Wärmebezug der Abnehmer</t>
  </si>
  <si>
    <t>Netzverluste</t>
  </si>
  <si>
    <t>spezifische</t>
  </si>
  <si>
    <t>Nutzungsdauer</t>
  </si>
  <si>
    <t>Abschreibung</t>
  </si>
  <si>
    <t>Standardwert oder Berechnung (kann geändert werden)</t>
  </si>
  <si>
    <t>Aufwand</t>
  </si>
  <si>
    <t>Ertrag</t>
  </si>
  <si>
    <t>Bilanz</t>
  </si>
  <si>
    <t>Unterhalt</t>
  </si>
  <si>
    <t>Zusätzlicher Aufwand</t>
  </si>
  <si>
    <t>Zusätzlicher Ertrag</t>
  </si>
  <si>
    <t>Effektiver Ertrag</t>
  </si>
  <si>
    <t>Jahr der Inbetriebnahme / erste Wärmelieferung</t>
  </si>
  <si>
    <t>Eingabe Grund- und Arbeitspreis</t>
  </si>
  <si>
    <t>QM Holzheizwerke - Zusammenstellung für KliK-Tool "Nachweis der Zusätzlichkeit von Fernwärmeprojekten"</t>
  </si>
  <si>
    <t>Jahr Anschluss</t>
  </si>
  <si>
    <t xml:space="preserve">Leistung im Vollausbau [kW] </t>
  </si>
  <si>
    <t>Schlüsselkunden</t>
  </si>
  <si>
    <t>Wärmebezug (Nutzenergie) (inkl. Auswirkungen Gebäudesanierung)</t>
  </si>
  <si>
    <t>[MWh/a]</t>
  </si>
  <si>
    <t>Register Wärmebezug; Abschnitt Referenzentwicklung</t>
  </si>
  <si>
    <t>Register Inputgrössen; Abschnitt Referenzentwicklung</t>
  </si>
  <si>
    <t>Total Elektrizitätsverbrauch pro Jahr</t>
  </si>
  <si>
    <t>Elektrizitätsverbrauch Fernwärmezentrale</t>
  </si>
  <si>
    <t>Investitionen und Ersatzinvestitionen</t>
  </si>
  <si>
    <t>[CHF/a]</t>
  </si>
  <si>
    <t>Fernwärmenetz (40 Jahre)</t>
  </si>
  <si>
    <t>Heizzentrale bzw. dezentrale Wärmesysteme (15 Jahre)</t>
  </si>
  <si>
    <t>Restwert Fernwärmenetz</t>
  </si>
  <si>
    <t>[CHF]</t>
  </si>
  <si>
    <t>Kosten</t>
  </si>
  <si>
    <t>Betrieb und Unterhalt</t>
  </si>
  <si>
    <t>Energiekosten</t>
  </si>
  <si>
    <t>Total Aufwand pro Jahr</t>
  </si>
  <si>
    <t>Ertrag (ohne Abgeltung)</t>
  </si>
  <si>
    <t>Anschlussbeiträge / einmalige Erträge</t>
  </si>
  <si>
    <t>Wärmeverkauf / wiederkehrende Erträge</t>
  </si>
  <si>
    <t>Förderbeiträge Dritter (Kanton, Bund, Gemeinde)</t>
  </si>
  <si>
    <t>Register Wirtschaftlichkeit; Projektaktivität</t>
  </si>
  <si>
    <t>Alle CHF - Beträge müssen ohne Mehrwertsteuer angegeben werden.</t>
  </si>
  <si>
    <t>Eingabefelder sind hellgelb unterlegt</t>
  </si>
  <si>
    <t>Wärmemengen, Netz, Projektstart</t>
  </si>
  <si>
    <t>Jahr der ersten Wärmelieferung - ab diesem Jahr werden Einnahmen generiert. (Übernahme des ersten Jahres mit Wärmelieferung aus dem Register "Verbraucher"</t>
  </si>
  <si>
    <t>Anteil der fossil erzeugten Nutzwärme</t>
  </si>
  <si>
    <t>Anteil Hilfsenergie (Strom) bezogen auf die produzierte Wärmemenge. Diese wird sowohl bei der Wärmeerzeugung als auch bei der Wärmeverteilung benötigt.
Empfehlung QMH: Für die Wärmeerzeugung wird 1 - 1.5% der produzierten Wärme benötigt, für die Wärmeverteilung 0.5 - 1% der verteilten Wärme.</t>
  </si>
  <si>
    <t>Kostenstruktur</t>
  </si>
  <si>
    <t>Eingabespalte der Investitionskosten</t>
  </si>
  <si>
    <t>Abschreibedauer der Anlagenteile (siehe auch QMH Planungshandbuch)</t>
  </si>
  <si>
    <t>Investitionen, Abschreibung etc.</t>
  </si>
  <si>
    <t>Baukosten für die Heizzentrale und das Brennstofflager</t>
  </si>
  <si>
    <t>Kosten für die holzspezifischen Anlagenteile (Kesselanlage komplett)</t>
  </si>
  <si>
    <t>Kosten für die spitzenlastspezifischen Anlagenteile (fossile Kesselanlage)</t>
  </si>
  <si>
    <t>Kosten für Wärmenetz inkl. Tiefbaukosten</t>
  </si>
  <si>
    <t>Planung und Unvorhergesehenes</t>
  </si>
  <si>
    <t>Angaben zu Fördergeldern</t>
  </si>
  <si>
    <t>Durchschnittliche Auszahlung pro Jahr innerhalb der Förderlaufzeit.</t>
  </si>
  <si>
    <t>Laufzeit der jährlichen Förderung (Anzahl Auszahlungen)</t>
  </si>
  <si>
    <t>Jahr der ersten Auszahlung. Bitte berücksichtigen Sie die Bearbeitungsdauer für die Berechnung der jährlichen Auszahlung. Es wird empfohlen die erste Auszahlung frühestens im Jahr nach der IBN einzurechnen.</t>
  </si>
  <si>
    <t>Berechnete Werte</t>
  </si>
  <si>
    <t>Bearbeitende Person des Wirtschaftlichkeitsmodelles</t>
  </si>
  <si>
    <t>Eingabefeld für Name und Bezeichnung von Projekt und/oder Variante</t>
  </si>
  <si>
    <t>Tarifstruktur: Es können für vier Tarifstufen individuelle Preise eingetragen werden</t>
  </si>
  <si>
    <t>Feld für Name und Bezeichnung von Projekt und/oder Variante: wird von Pkt. 106 übernommen</t>
  </si>
  <si>
    <t>Wärmebedarf</t>
  </si>
  <si>
    <t>Abonnierte Leistung gemäss Wärmeliefervertrag
Achtung: Hier ist die abonnierte Leistung einzutragen, die für die Verrechnung der Grundgebühr benötigt wird. Diese kann von der berechneten nötigen Leistung gemäss Excel-Tabelle Situationserfassung abweichen!</t>
  </si>
  <si>
    <t>Anschlussjahr: Kalenderjahr, in dem der Verbraucher erstmals mit Wärme versorgt wird</t>
  </si>
  <si>
    <t>Tarifstufe des Wärmepreises für den Verbraucher (Auswahlfeld: es können die in E2_Wärmepreis definierten Tarifstufen gewählt werden)</t>
  </si>
  <si>
    <t>jährliche Grundkosten für den Verbraucher: Berechnet aus der abonnierten Leistung und den Grundkosen der gewählten Tarifstufe</t>
  </si>
  <si>
    <t>jährliche Energiekosten für den Verbraucher: Berechnet aus dem Jahreswärmebedarf und dem Arbeitspreis der gewählten Tarifstufe</t>
  </si>
  <si>
    <t>jährliche Grund- und Energiekosten für den Verbraucher: Summe aus Pkt. 331 + 332 (Dieser Wert wird als jährlicher Ertrag für den Wärmeverbund verbucht)</t>
  </si>
  <si>
    <t>Jahreskosten für den Verbraucher: Summe aus Kapital-, Grund- und Energiekosten (Pkt. 330-332)</t>
  </si>
  <si>
    <t>Wärmegestehungspreis der Verbraucher: Berechnet aus den Jahreskosten (Pkt. 334) und dem Wärmebezug (Pkt. 320)</t>
  </si>
  <si>
    <t xml:space="preserve">QM Holzheizwerke - Wirtschaftlichkeitsmodell - Wärmepreis </t>
  </si>
  <si>
    <t>Warnungshinweis: Wenn in den Eingabeblättern E1 und E2 noch Warnungen anstehend sind, wird in diesem Feld ein "Sammelalarm" ausgegeben.</t>
  </si>
  <si>
    <t>Projektdaten</t>
  </si>
  <si>
    <t>Total Förderung</t>
  </si>
  <si>
    <t>Betrieb + Administra-tion</t>
  </si>
  <si>
    <t>Jahr nach IBN</t>
  </si>
  <si>
    <t>Kreditstand</t>
  </si>
  <si>
    <t>Restwert der Anlagen</t>
  </si>
  <si>
    <t xml:space="preserve"> (100% Auslastung; Jahr 1)</t>
  </si>
  <si>
    <t>Total Betriebskosten</t>
  </si>
  <si>
    <t>Gesamtinvestitionsumme</t>
  </si>
  <si>
    <t>Summe der Aufwendungen des Wärmeverbundes</t>
  </si>
  <si>
    <t>Gesamtertrag des Projektes</t>
  </si>
  <si>
    <t>QM Holzheizwerke - Wirtschaftlichkeitsmodell - Ergebnisse</t>
  </si>
  <si>
    <t>Total Aufwand</t>
  </si>
  <si>
    <t>Total Ertrag</t>
  </si>
  <si>
    <t>Energie</t>
  </si>
  <si>
    <t>gelieferte Wärmemenge</t>
  </si>
  <si>
    <t>Restwert der Anlage</t>
  </si>
  <si>
    <t>Netzauslastung</t>
  </si>
  <si>
    <t>Investitionsstaffelung</t>
  </si>
  <si>
    <t>Anteil</t>
  </si>
  <si>
    <t>Entwicklung Netzauslastung</t>
  </si>
  <si>
    <t>Bemerkungen</t>
  </si>
  <si>
    <t>Ausgabefelder</t>
  </si>
  <si>
    <t>Ausgabefelder, deren Inhalt kopiert werden und in einer externen Datei eingefügt werden können
Die Felder sind überschreibbar. Bitte beachten Sie, dass das Überschreiben dieser Felder zu Fehlern an anderen Stellen und damit zu Fehlern führen können.</t>
  </si>
  <si>
    <t>kWh</t>
  </si>
  <si>
    <t>Kilowattstunde thermisch bzw. Wärme</t>
  </si>
  <si>
    <t>Jahr (anno)</t>
  </si>
  <si>
    <t>Schweizer Franken</t>
  </si>
  <si>
    <t>Prozent</t>
  </si>
  <si>
    <t>Megawattstunde elektrisch bzw. Strom</t>
  </si>
  <si>
    <t>Kilowattstunde elektrisch bzw. Strom</t>
  </si>
  <si>
    <t>VJ</t>
  </si>
  <si>
    <t>ÜS</t>
  </si>
  <si>
    <t>Vorjahr</t>
  </si>
  <si>
    <t>laufende</t>
  </si>
  <si>
    <t>Überschuss</t>
  </si>
  <si>
    <t>Kredit 1</t>
  </si>
  <si>
    <t>Kredit 2</t>
  </si>
  <si>
    <t>Megawattstunde thermisch bzw. Wärme</t>
  </si>
  <si>
    <t>nicht eingerechneter Aufwand und Ertrag</t>
  </si>
  <si>
    <t>Zusätzliche Erträge - Spalte für freie Eingabe (Der Spaltentitel kann überschrieben werden)
Achtung NPV: Diese Erträge werden im Registerblatt "A2_NPV-Daten" unter 930 aufgeführt.  Sie müssen manuell an die richtigen Stellen  übertragen werden!</t>
  </si>
  <si>
    <t>Laufzeit des Kredits, in dieser Berechnung werden konstante Raten über die gesamte Laufzeit angenommen. Die Laufzeit des Kredits sollte gegenüber der Bank so lange als möglich vereinbart werden (ideal 20... 25 Jahre) und die Möglichkeit einer vorzeitigen kostenfreien Rückzahlung im Kreditvertrag festgehalten werden. So bleibt die verpflichtete Rate so tief wie möglich, bei höheren Einnahmen kann der Betreiber  vorauszahlen und damit den Kredit rascher amortisieren.
Unbefristete Kredite ohne Rückzahlraten (z.B. Hypotheken ohne Amortisation) werden mit der Laufzeit "0" eingetragen.</t>
  </si>
  <si>
    <t>Gesamt-ertrag</t>
  </si>
  <si>
    <t>(inkl. Ausbauten)</t>
  </si>
  <si>
    <t>Ausbaustufe / Etappe 1</t>
  </si>
  <si>
    <t>Ausbaustufe / Etappe 2</t>
  </si>
  <si>
    <t>Ausbaustufe / Etappe 3</t>
  </si>
  <si>
    <t>Eingabefelder mit Standardwerten und/oder Berechnungen sind hellblau unterlegt
Bitte beachten Sie, dass das Überschreiben dieser Felder zu Fehlern an anderen Stellen und damit zu falschen Aussagen des Werkzeuges führen können.</t>
  </si>
  <si>
    <t>QM Holzheizwerke - Wirtschaftlichkeitsmodell - Projektdaten</t>
  </si>
  <si>
    <t>Berechnete Gesamtinvestitionen für das Projekt und mittlere Abschreibedauer</t>
  </si>
  <si>
    <t>Bearbeitende Person: wird von Pkt. 107 übernommen</t>
  </si>
  <si>
    <t>Anschlusszeitpunkt: Prozentualer Anteil des Wärmebedarfes im Anschlussjahr (Pkt. 323) des Gesamtwärmebedarfes (Pkt. 320)
Beispiel: Erfolgt der Anschluss auf Beginn der Heizperiode, beträgt der Wärmebedarf im Anschlussjahr z.B. ca. 40%. Im Anschlussjahr wird dann mit einem Wärmeverkauf von 40% gerechnet und im Folgejahr 100%</t>
  </si>
  <si>
    <t>Anschlusskosten: einmalige Anschlusskosten, die der Verbraucher an den Wärmeverbund entrichtet. Die Kosten werden im Anschlussjahr (Pkt. 323) als Ertrag für den Wärmeverbund verbucht.</t>
  </si>
  <si>
    <t>lfd.</t>
  </si>
  <si>
    <t>Gesamtsumme Förderung</t>
  </si>
  <si>
    <t>Feld für Übertrag aus Situationserfassung</t>
  </si>
  <si>
    <t>Kosten für Planung und Unvorhergesehenes (Abschreibung über mittlere Abschreibedauer)
Diese Position wird in der Restwertbetrachtung nicht eingerechnet!</t>
  </si>
  <si>
    <t>Summe des fremdfinanzierten Betrages</t>
  </si>
  <si>
    <t>Installationskosten für Heizung, Lüftung, Klima, Sanitär und Elektro (HLKSE)</t>
  </si>
  <si>
    <t>Restwert der Anlage unter Berücksichtigung der Abschreibung
Der Restwert berechnet sich aus dem prozentualen Investitionsanteil und der entsprechenden Abschreibung.
Hinweis: Die Kosten für die Hausstationen und die Planung sind nicht eingerechnet.</t>
  </si>
  <si>
    <t>Diagramm mit der Darstellung der Entwicklung des Kreditstandes und des Restwertes der Anlage im Verlauf der Perioden 1-25. 
Hinweis: Um den Kredit sichern zu können darf der Restwert nicht kleiner als der Kreditstand sein!</t>
  </si>
  <si>
    <t>Warnungen
Hinweise:</t>
  </si>
  <si>
    <t>Vertragslaufzeit</t>
  </si>
  <si>
    <t>jährlicher Grundpreis</t>
  </si>
  <si>
    <t>CHF/kW a</t>
  </si>
  <si>
    <t xml:space="preserve"> jährlicher Grundpreis</t>
  </si>
  <si>
    <t>Arbeitstarif [CHF/kWh a]</t>
  </si>
  <si>
    <t>Vertragslaufzeit [Jahre]</t>
  </si>
  <si>
    <t>Eingabefelder in welche Daten aus der QMH Excel-Datei Situationserfassung übernommen werden können
Hinweis: Damit keine Formeln kopiert werden, ist die Funktion "Einfügen - Werte" zu wählen.</t>
  </si>
  <si>
    <t>Nummer: Fortlaufende Nummer (Übernahme aus der Excel-Tabelle Situationserfassung möglich)
Hinweis: Damit keine Formeln kopiert werden, ist die Funktion "Einfügen - Werte" zu wählen.</t>
  </si>
  <si>
    <t>Bezeichnung: Drei Zeilen für die Objekt oder Etappenbenennung (Übernahme aus der Excel-Tabelle Situationserfassung möglich)
Hinweis: Damit keine Formeln kopiert werden, ist die Funktion "Einfügen - Werte" zu wählen.</t>
  </si>
  <si>
    <t>(exkl. MWSt.)</t>
  </si>
  <si>
    <t>jährliche Kapitalkosten [CHF/a]</t>
  </si>
  <si>
    <t>jährliche Grundkosten [CHF/a]</t>
  </si>
  <si>
    <t>jährliche Energiekosten [CHF/a]</t>
  </si>
  <si>
    <t>Grund- und Energiekosten [CHF/a]</t>
  </si>
  <si>
    <t>Jahreskosten [CHF/a]</t>
  </si>
  <si>
    <t xml:space="preserve"> [CHF/a]</t>
  </si>
  <si>
    <t>Erfolgsrechnung</t>
  </si>
  <si>
    <t>Kumulierter Gewinn / Verlust</t>
  </si>
  <si>
    <t>Cashflow</t>
  </si>
  <si>
    <t>Ab-schreibung</t>
  </si>
  <si>
    <t>Kumulierter Cashflow</t>
  </si>
  <si>
    <t>Verzinsung Investitions-
summe</t>
  </si>
  <si>
    <t>jährlicher Bruttokreditzinssatz (vor Abzug der Verrechungssteuer) über die gesamte Laufzeit (mittlerer Zinssatz)</t>
  </si>
  <si>
    <t>Zinskosten von Krediten und Darlehen
Die erste Zinszahlung ist im Auszahlungsjahr fällig</t>
  </si>
  <si>
    <t>Erfolgsrechnung: Kumulierter Überschuss / Fehlbetrag</t>
  </si>
  <si>
    <t>Kreditstand (informativ) - Reine netto-Berechnung des Kreditstands, ohne Kosten für Bankgebühren, Errichtung etc.
Bedingte Formatierung: Wenn der Kreditstand durch den Restwert der Anlage nicht gesichert ist, wird das Feld rot hinterlegt.</t>
  </si>
  <si>
    <t>Kredite/Darlehen</t>
  </si>
  <si>
    <t>Betrieb, Unterhalt , Sonstiges</t>
  </si>
  <si>
    <t>Jahreskosten</t>
  </si>
  <si>
    <t>Entwicklung Kreditstand / Restwert (Diagramm)</t>
  </si>
  <si>
    <t>Gesamtwärmebedarf des Wärmekunden bestehend aus dem Wärmebedarf für Raumwärme, Warmwasser und Prozesswärme (Ab Situationserfassung V34 könnnen die Werte direkt aus dem Regiesterblatt "Verbraucher" übernommen werden. Bei älteren Situationserfassungen kann die Summe der einzelnen Werte übernommen werden.)</t>
  </si>
  <si>
    <t xml:space="preserve">Abnahme des Wärmebedarfes (Effizienzsteigerung) </t>
  </si>
  <si>
    <t>Nominalzins</t>
  </si>
  <si>
    <t>Realzinssatz</t>
  </si>
  <si>
    <t>Wärmegestehungskosten</t>
  </si>
  <si>
    <t>Rp/kWh</t>
  </si>
  <si>
    <t>(ohne Förderung)</t>
  </si>
  <si>
    <t>Nominalzins: aktueller Nominalzinssatz</t>
  </si>
  <si>
    <t>Jahreskosten / Wärmegestehungskosten</t>
  </si>
  <si>
    <t>Kapitalkosten Wärmeerzeugung</t>
  </si>
  <si>
    <t>Kapitalkosten Wärmeverteilung</t>
  </si>
  <si>
    <t>Wartung und Unterhalt Wärmeerzeugung</t>
  </si>
  <si>
    <t>Wartung und Unterhalt Wärmeverteilung</t>
  </si>
  <si>
    <t>Personalkosten (für Bedienung, Reinigung, etc.)</t>
  </si>
  <si>
    <t>externe Betriebskosten (Service, Kaminfeger etc.)</t>
  </si>
  <si>
    <t>Sonstige Kosten (Verwaltung, Versicherungen etc.)</t>
  </si>
  <si>
    <r>
      <t xml:space="preserve">Prinzipielles zu diesem Werkzeug:
Haftungsausschluss
Das Excel-Werkzeug wurde sehr sorgfältig erstellt, trotzdem können die Hersteller keinerlei Garantie oder Gewährleistung für die ermittelten Ergebnisse und daraus abgeleitete Schlüsse übernehmen. Durch die getroffenen Vereinfachungen ergeben sich aufgrund der Art der Berechnung bestimmte "Fehler", z.B. wird nicht berücksichtigt, ob eine Zahlung zu Jahresbeginn oder Jahresende erfolgt, da ein Jahr als eine Periode angesehen wird.
Achtung: Auch wenn Warnungs-Rückmeldungen bezüglich diverser Eingabegrenzen durch das Werkzeug erfolgen, ist nicht auszuschliessen, dass durch falsche Eingabewerte eine falsche Darstellung des Endergebnisses erfolgt. Die richtige Abschätzung der Folgen bestimmter Annahmen obliegt dem Benutzer des Werkzeugs.
</t>
    </r>
    <r>
      <rPr>
        <sz val="10"/>
        <rFont val="Arial"/>
        <family val="2"/>
      </rPr>
      <t>Formeln:
Die Arbeitsblätter dieser Arbeitsmappe sind mit einem Schreibschutz gesichert, alle Formeln und Berechnungen sind jedoch ersichtlich. Bitte beachten Sie, dass Änderungen daran zu Fehlern an anderen Stellen und damit zu falschen Aussagen des Werkzeugs führen können.</t>
    </r>
    <r>
      <rPr>
        <b/>
        <sz val="10"/>
        <rFont val="Arial"/>
        <family val="2"/>
      </rPr>
      <t xml:space="preserve">
</t>
    </r>
    <r>
      <rPr>
        <sz val="10"/>
        <rFont val="Arial"/>
        <family val="2"/>
      </rPr>
      <t>Sensitivitätsanalyse / Was-Wäre-Wenn Rechnung:
Durch Variation der Eingabeparameter und Speicherung der einzelnen Ergebnisse der 
Wirtschaftlichkeitsberechnung ist es möglich, Aussagen bezüglich des Einflusses einzelner 
Parameter auf die wirtschaftliche Entwicklung des Projekts zu erhalten.</t>
    </r>
    <r>
      <rPr>
        <b/>
        <sz val="10"/>
        <rFont val="Arial"/>
        <family val="2"/>
      </rPr>
      <t xml:space="preserve">
</t>
    </r>
    <r>
      <rPr>
        <sz val="10"/>
        <rFont val="Arial"/>
        <family val="2"/>
      </rPr>
      <t>Feedback:
Das Team von QM Holzheizwerke freut sich über Verbesserungsvorschläge und Anregungen zu 
diesem Werkzeug, bitte übermitteln Sie diese an info@qmholzheizwerke.ch</t>
    </r>
  </si>
  <si>
    <r>
      <rPr>
        <b/>
        <sz val="10"/>
        <rFont val="Arial"/>
        <family val="2"/>
      </rPr>
      <t xml:space="preserve">Registerblätter: </t>
    </r>
    <r>
      <rPr>
        <sz val="10"/>
        <rFont val="Arial"/>
        <family val="2"/>
      </rPr>
      <t>Die Datei ist aufgeteilt auf verschiedene Registerblätter
Benennung: Die Benennung der Registerblätter unterscheidet auch die hauptsächliche Funktion des Arbeitsblattes:
I = Information (Arbeitsblatt enthält Infos und Erläuterungen zur Anwendung der Datei)
E = Eingabeblatt (Eingabe von Daten, die für die Berechnung notwendig sind)
B = Berechnung
A = Ausgabeblatt (Darstellung von ausgewählten Ergebnissen zum Drucken oder für den Datenexport)</t>
    </r>
  </si>
  <si>
    <r>
      <t xml:space="preserve">Registerblatt "E1_Projektdaten"
</t>
    </r>
    <r>
      <rPr>
        <sz val="10"/>
        <rFont val="Arial"/>
        <family val="2"/>
      </rPr>
      <t>Eingabe von Projektdaten, Termine, Investitionskosten, Förderung, Darlehen, Betriebskosten etc.</t>
    </r>
  </si>
  <si>
    <r>
      <t>Warnungen:</t>
    </r>
    <r>
      <rPr>
        <sz val="10"/>
        <rFont val="Arial"/>
        <family val="2"/>
      </rPr>
      <t xml:space="preserve"> Im Feld Warnungen erscheint ein kurzer Erläuterungstext, wenn bei der Eingabe unplausible Angaben gemacht werden (z.B. Netzverluste = 80% oder ähnlich)</t>
    </r>
  </si>
  <si>
    <r>
      <rPr>
        <b/>
        <sz val="10"/>
        <rFont val="Arial"/>
        <family val="2"/>
      </rPr>
      <t>externe Betriebskosten</t>
    </r>
    <r>
      <rPr>
        <sz val="10"/>
        <rFont val="Arial"/>
        <family val="2"/>
      </rPr>
      <t xml:space="preserve"> für Kaminfeger, Abgasmessung, Service-Verträge etc. (Ascheentsorgung, sofern nicht im Brennstoffpreis enthalten)</t>
    </r>
  </si>
  <si>
    <r>
      <t xml:space="preserve">Jährliche Kosten für </t>
    </r>
    <r>
      <rPr>
        <b/>
        <sz val="10"/>
        <rFont val="Arial"/>
        <family val="2"/>
      </rPr>
      <t>Miete,  Pacht oder  Liegenschaft</t>
    </r>
    <r>
      <rPr>
        <sz val="10"/>
        <rFont val="Arial"/>
        <family val="2"/>
      </rPr>
      <t xml:space="preserve"> (effektive Kosten eintragen)</t>
    </r>
  </si>
  <si>
    <r>
      <t xml:space="preserve">Registerblatt "E2_Wärmepreis"
</t>
    </r>
    <r>
      <rPr>
        <sz val="10"/>
        <rFont val="Arial"/>
        <family val="2"/>
      </rPr>
      <t>Angaben zu den Wärmepreisen und Tarifbildung</t>
    </r>
  </si>
  <si>
    <r>
      <t xml:space="preserve">Registerblatt "E3_Verbraucher"
</t>
    </r>
    <r>
      <rPr>
        <sz val="10"/>
        <rFont val="Arial"/>
        <family val="2"/>
      </rPr>
      <t>Angaben zu den Wärmeverbrauchern (Wärmekunden) im Wärmeverbund</t>
    </r>
  </si>
  <si>
    <r>
      <rPr>
        <b/>
        <sz val="10"/>
        <rFont val="Arial"/>
        <family val="2"/>
      </rPr>
      <t xml:space="preserve">Registerblatt "A1_Ergebnisse"
</t>
    </r>
    <r>
      <rPr>
        <sz val="10"/>
        <rFont val="Arial"/>
        <family val="2"/>
      </rPr>
      <t>In diesem Registerblatt sind die wichtigsten Ergebnisse zusammengefasst und ausgewertet</t>
    </r>
  </si>
  <si>
    <r>
      <rPr>
        <b/>
        <sz val="10"/>
        <rFont val="Arial"/>
        <family val="2"/>
      </rPr>
      <t>Investitionskosten:</t>
    </r>
    <r>
      <rPr>
        <sz val="10"/>
        <rFont val="Arial"/>
        <family val="2"/>
      </rPr>
      <t xml:space="preserve"> Zusammenstellung</t>
    </r>
  </si>
  <si>
    <r>
      <rPr>
        <b/>
        <sz val="10"/>
        <rFont val="Arial"/>
        <family val="2"/>
      </rPr>
      <t xml:space="preserve">Auswertungen Energie: </t>
    </r>
    <r>
      <rPr>
        <sz val="10"/>
        <rFont val="Arial"/>
        <family val="2"/>
      </rPr>
      <t>Die Auswertungen erfolgen für die gleichen Betrachtungsräume wie in Pkt. 620 beschrieben</t>
    </r>
  </si>
  <si>
    <r>
      <rPr>
        <b/>
        <sz val="10"/>
        <rFont val="Arial"/>
        <family val="2"/>
      </rPr>
      <t>Bemerkungen:</t>
    </r>
    <r>
      <rPr>
        <sz val="10"/>
        <rFont val="Arial"/>
        <family val="2"/>
      </rPr>
      <t xml:space="preserve"> Feld für die Eingabe von Bemerkungen und Interpretationen.</t>
    </r>
  </si>
  <si>
    <r>
      <rPr>
        <b/>
        <sz val="10"/>
        <rFont val="Arial"/>
        <family val="2"/>
      </rPr>
      <t>Registerblatt NPV-Daten</t>
    </r>
    <r>
      <rPr>
        <sz val="10"/>
        <rFont val="Arial"/>
        <family val="2"/>
      </rPr>
      <t xml:space="preserve">
Exportvorlage für NPV-Rechner: Das Registerblatt stellt diejenigen Daten aus dem Tool zusammen, die für die Berechnung des NPV benötigt werden. Die Darstellung ist an das  KliK-Tool "Tool für den Nachweis der Zusätzlichkeit von Fernwärmeprojekten" (Version 3.2 vom 10. Februar 2016) angepasst.
Angaben für das KliK-Tool, die nicht aus der vorliegenden Datei übernommen werden können, sind im Export nicht enthalten.
Änderungen im Tool oder andere Ansichten werden durch das QMH-Wirtschaftlichkeits-Tool nicht automatisch geändert.</t>
    </r>
  </si>
  <si>
    <r>
      <t xml:space="preserve">KliK-Register </t>
    </r>
    <r>
      <rPr>
        <b/>
        <sz val="10"/>
        <rFont val="Arial"/>
        <family val="2"/>
      </rPr>
      <t>Inputgrössen</t>
    </r>
  </si>
  <si>
    <r>
      <rPr>
        <b/>
        <sz val="10"/>
        <rFont val="Arial"/>
        <family val="2"/>
      </rPr>
      <t>Schlüsselkunden:</t>
    </r>
    <r>
      <rPr>
        <sz val="10"/>
        <rFont val="Arial"/>
        <family val="2"/>
      </rPr>
      <t xml:space="preserve"> Die Daten der Spalten "Bezeichnung", "Leistung" und "Jahreswärmebedarf"  werden aus dem Registerblatt "E3_Verbraucher" übernommen. Die Spalte "Gebäudetyp &amp; Bezugscharakteristik" muss noch nachgeführt werden.
Achtung: Das KliK-Tool verfügt lediglich über 15 Verbraucher. Es werden die ersten 15 Verbraucher übernommen. Bei mehr Verbrauchern sind die Verbraucher zu gruppieren, so dass der Gesamtverbrauch abgedeckt ist.</t>
    </r>
  </si>
  <si>
    <r>
      <rPr>
        <b/>
        <sz val="10"/>
        <rFont val="Arial"/>
        <family val="2"/>
      </rPr>
      <t>Schlüsselkunden:</t>
    </r>
    <r>
      <rPr>
        <sz val="10"/>
        <rFont val="Arial"/>
        <family val="2"/>
      </rPr>
      <t xml:space="preserve"> Die Daten der Spalten "Jahr Anschluss"  werden aus dem Registerblatt "E3_Verbraucher" übernommen. Die Spalte "Leistung im Vollausbau" übernimmt die Werte aus der Spalte "Leistung" von Pkt. 911. Die Werte können überschrieben werten.
Achtung: Das Überschreiben der Zelle löscht die Formel.</t>
    </r>
  </si>
  <si>
    <r>
      <t xml:space="preserve">KliK-Register </t>
    </r>
    <r>
      <rPr>
        <b/>
        <sz val="10"/>
        <rFont val="Arial"/>
        <family val="2"/>
      </rPr>
      <t>Wärmebezug;</t>
    </r>
    <r>
      <rPr>
        <sz val="10"/>
        <rFont val="Arial"/>
        <family val="2"/>
      </rPr>
      <t xml:space="preserve"> Abschnitt </t>
    </r>
    <r>
      <rPr>
        <b/>
        <sz val="10"/>
        <rFont val="Arial"/>
        <family val="2"/>
      </rPr>
      <t>Referenzentwicklung</t>
    </r>
  </si>
  <si>
    <r>
      <rPr>
        <b/>
        <sz val="10"/>
        <rFont val="Arial"/>
        <family val="2"/>
      </rPr>
      <t>Wärmebezug:</t>
    </r>
    <r>
      <rPr>
        <sz val="10"/>
        <rFont val="Arial"/>
        <family val="2"/>
      </rPr>
      <t xml:space="preserve"> Der Nutzwärmebedarf wird in Abhängigkeit des Anschlusszeitpunktes aus dem Registerblatt "E3_Verbruacher" übernommen
Im Unterschied zum vorliegenden Tool beträgt der Betrachtungszeitraum 15 Jahre.</t>
    </r>
  </si>
  <si>
    <r>
      <rPr>
        <b/>
        <sz val="10"/>
        <rFont val="Arial"/>
        <family val="2"/>
      </rPr>
      <t xml:space="preserve">Elektrizitätsverbrauch: </t>
    </r>
    <r>
      <rPr>
        <sz val="10"/>
        <rFont val="Arial"/>
        <family val="2"/>
      </rPr>
      <t>Der Strombedarf als Hilfsenergie wird aus dem Registerblatt "B1_Berechnungen" (Pkt. 556) übernommen.</t>
    </r>
  </si>
  <si>
    <r>
      <rPr>
        <b/>
        <sz val="10"/>
        <rFont val="Arial"/>
        <family val="2"/>
      </rPr>
      <t xml:space="preserve">Fernwärmenetz (40a): </t>
    </r>
    <r>
      <rPr>
        <sz val="10"/>
        <rFont val="Arial"/>
        <family val="2"/>
      </rPr>
      <t>Die Investitionskosten für das Wärmenetz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</si>
  <si>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 xml:space="preserve">Heizzentrale bzw. dezentrale Wärmesysteme (15 Jahre): </t>
    </r>
    <r>
      <rPr>
        <sz val="10"/>
        <rFont val="Arial"/>
        <family val="2"/>
      </rPr>
      <t>Die Investitionskosten für die Heizzentrale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</si>
  <si>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Betrieb und Unterhalt:</t>
    </r>
    <r>
      <rPr>
        <sz val="10"/>
        <rFont val="Arial"/>
        <family val="2"/>
      </rPr>
      <t xml:space="preserve"> Die Jahreskosten für Betrieb und Unterhalt werden aus dem Registerblatt "B1_Berechnungen" (Punkte 557, 558 und 559) übernommen.
Achtung: Aufwendungen aus der Spalte "übrige Aufwendungen" (Pkt. 651) werden nicht automatisch ins Registerblatt "A2_NPV-Daten" übernommen. Sie müssen manuell an die richtigen Stelle  übertragen werden!</t>
    </r>
  </si>
  <si>
    <r>
      <rPr>
        <b/>
        <sz val="10"/>
        <rFont val="Arial"/>
        <family val="2"/>
      </rPr>
      <t>Energiekosten</t>
    </r>
    <r>
      <rPr>
        <sz val="10"/>
        <rFont val="Arial"/>
        <family val="2"/>
      </rPr>
      <t>: Die Energiekosten werden aus dem Registerblatt "B1_Berechnungen" (Punkte 554, 555 und 556)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</si>
  <si>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Anschlussbeiträge / einmalige Erträge: </t>
    </r>
    <r>
      <rPr>
        <sz val="10"/>
        <rFont val="Arial"/>
        <family val="2"/>
      </rPr>
      <t>Die Anschlussbeiträge werden aus dem Registerblatt "B1_Berechnungen" (Pkt. 572) übernommen.
Achtung: Aufwendungen aus der Spalte "übrige Aufwendungen" (Pkt. 651) werden nicht automatisch ins Registerblatt "A2_NPV-Daten" übernommen. Sie müssen manuell an die richtigen Stelle  übertragen werden!</t>
    </r>
  </si>
  <si>
    <r>
      <rPr>
        <b/>
        <sz val="10"/>
        <rFont val="Arial"/>
        <family val="2"/>
      </rPr>
      <t>Wärmeverkauf / wiederkehrende Erträge:</t>
    </r>
    <r>
      <rPr>
        <sz val="10"/>
        <rFont val="Arial"/>
        <family val="2"/>
      </rPr>
      <t xml:space="preserve"> Die Erträge aus dem Wärmeverkauf werden aus dem Registerblatt "B1_Berechnungen" (Pkt. 571)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</si>
  <si>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Förderbeiträge Dritter (Kanton, Bund, Gemeinde): </t>
    </r>
    <r>
      <rPr>
        <sz val="10"/>
        <rFont val="Arial"/>
        <family val="2"/>
      </rPr>
      <t>Die Auszahlung der einmaligen Fördergelder werden aus dem Registerblatt "E1_Projektdaten" (Punkte 172 und 174) übernommen und im entsprechenden Auszahlungsjahr (Punkte 173 und 175) eingetragen.
Hinweis: Mehrjährige Förderungen (ausser KliK-Beträge) müssen manuell nachgetragen werden!</t>
    </r>
  </si>
  <si>
    <r>
      <rPr>
        <b/>
        <sz val="10"/>
        <rFont val="Arial"/>
        <family val="2"/>
      </rPr>
      <t>nicht eingerechneter Aufwand und Ertrag:</t>
    </r>
    <r>
      <rPr>
        <sz val="10"/>
        <rFont val="Arial"/>
        <family val="2"/>
      </rPr>
      <t xml:space="preserve">
Die Beträge aus den Spalten "Zusätzlicher Aufwand" (Pkt. 561) und "Zusätzlicher Ertrag" (Pkt. 574) werden hier ausgewiesen. Da bei diesen Beträge nicht definiert ist, welchen Zeilen sie zuzuordnen sind, müssen die Beträge vor dem Export manuell in den entsprechenden Feldern ergänzt werden.</t>
    </r>
  </si>
  <si>
    <r>
      <t>MWh</t>
    </r>
    <r>
      <rPr>
        <vertAlign val="subscript"/>
        <sz val="10"/>
        <rFont val="Arial"/>
        <family val="2"/>
      </rPr>
      <t>el</t>
    </r>
  </si>
  <si>
    <r>
      <t>kWh</t>
    </r>
    <r>
      <rPr>
        <vertAlign val="subscript"/>
        <sz val="10"/>
        <rFont val="Arial"/>
        <family val="2"/>
      </rPr>
      <t>el</t>
    </r>
  </si>
  <si>
    <t>Erläuterungen zum QM Holzheizwerke Wirtschaftlichkeitstool</t>
  </si>
  <si>
    <t>Förderung (über 25 Jahre kapitalisiert)</t>
  </si>
  <si>
    <t>Jahreskosten inkl. Förderung</t>
  </si>
  <si>
    <t>Ausbaustufe / Etappe 4</t>
  </si>
  <si>
    <t>Ausbaustufe / Etappe 5</t>
  </si>
  <si>
    <t>Beginn Amortisation</t>
  </si>
  <si>
    <t>Tarif 5</t>
  </si>
  <si>
    <t>Tarif 6</t>
  </si>
  <si>
    <t>Energiemengen, Produktion</t>
  </si>
  <si>
    <t>Brennstoffpreis Holzschnitzel (ab Wärmezähler)</t>
  </si>
  <si>
    <t>Einkaufspreise Energie</t>
  </si>
  <si>
    <t>Anteil der mit Wärmepumpen erzeugten Nutzwärme</t>
  </si>
  <si>
    <t>Anteil der erzeugten Nutzwärme aus Abwärme</t>
  </si>
  <si>
    <t>Jahresnutzungsgrad WKK elektrisch</t>
  </si>
  <si>
    <t>Jahresarbeitszahl JAZ der Wärmepumpe</t>
  </si>
  <si>
    <t>-</t>
  </si>
  <si>
    <t>m³/a</t>
  </si>
  <si>
    <t>Strompreis WP</t>
  </si>
  <si>
    <t>Preis Abwärmenutzung</t>
  </si>
  <si>
    <t>mittl. Einspeisetarif elektrisch</t>
  </si>
  <si>
    <t>Verkaufspreis Pflanzenkohle</t>
  </si>
  <si>
    <t>CHF/m³</t>
  </si>
  <si>
    <t>Betriebskosten und übrige Aufwendungen</t>
  </si>
  <si>
    <t>Kosten für Miete / Pacht / Grundstück/Steuern</t>
  </si>
  <si>
    <t>WKK-Anlage</t>
  </si>
  <si>
    <t>Wärmepumpen-Anlage</t>
  </si>
  <si>
    <t>Erdsonden / Grundwassernutzung</t>
  </si>
  <si>
    <t>Abwärmenutzung</t>
  </si>
  <si>
    <t>Eigenkapital</t>
  </si>
  <si>
    <t>Einmaliger Förderbeitrag Paket 3</t>
  </si>
  <si>
    <t>Durchschnittliche jährliche Förderung 2</t>
  </si>
  <si>
    <t>Förderlaufzeit 2</t>
  </si>
  <si>
    <t>Jahr der ersten Auszahlung 2</t>
  </si>
  <si>
    <t>Förderlaufzeit 1</t>
  </si>
  <si>
    <t>Durchschnittliche jährliche Förderung 1</t>
  </si>
  <si>
    <t>Jahr der ersten Auszahlung 1</t>
  </si>
  <si>
    <t xml:space="preserve"> jährliche Nutzwärmemenge aus Holzschnitzeln</t>
  </si>
  <si>
    <t xml:space="preserve"> jährliche Nutzwärmemenge von WP</t>
  </si>
  <si>
    <t xml:space="preserve"> jährliche Nutzwärmemenge Abwärme</t>
  </si>
  <si>
    <t>jährliche Stromproduktion aus WKK</t>
  </si>
  <si>
    <t>jährlicher Netzbezug für Wärmepumpe</t>
  </si>
  <si>
    <t>jährlicher Netzbezug Hilfsenergie</t>
  </si>
  <si>
    <t>Stromeinspeisung ins Netz</t>
  </si>
  <si>
    <t>jährliche Pflanzenkohleproduktion</t>
  </si>
  <si>
    <t>jährliche Energiekosten Holzschnitzel</t>
  </si>
  <si>
    <t>jährliche Energiekosten für Abwärme</t>
  </si>
  <si>
    <t>jährliche Stromkosten Wärmepumpe</t>
  </si>
  <si>
    <t>jährlicher Ertrag aus Stromeinspeisung</t>
  </si>
  <si>
    <t>jährlicher Ertrag aus Pflanzenkohle</t>
  </si>
  <si>
    <t>jährliche Stromkosten Hilfsenergie</t>
  </si>
  <si>
    <t>Ertrag Strom- und Pflanzenkohleverkauf</t>
  </si>
  <si>
    <t>Ertrag Stromverkauf</t>
  </si>
  <si>
    <t>Ertrag Pflanzenkohle</t>
  </si>
  <si>
    <t>Abwärme-nutzung</t>
  </si>
  <si>
    <t>Strom WP</t>
  </si>
  <si>
    <t>jährliche Energiekosten fossil</t>
  </si>
  <si>
    <t>Strom (Hilfsenergie)</t>
  </si>
  <si>
    <t>Strom-einspeisung</t>
  </si>
  <si>
    <t>Pflanzen-kohle</t>
  </si>
  <si>
    <t>Eigenkapital / Aktienkapital</t>
  </si>
  <si>
    <t>Finanzierung</t>
  </si>
  <si>
    <t>Förderung
einmalig</t>
  </si>
  <si>
    <t>Förderung
jährlich</t>
  </si>
  <si>
    <t>Anlagekosten</t>
  </si>
  <si>
    <t>Zins Kredite</t>
  </si>
  <si>
    <t>Reingewinn/
-verlust</t>
  </si>
  <si>
    <t>Restwert</t>
  </si>
  <si>
    <t>mittlere erzeugte Wärmemenge</t>
  </si>
  <si>
    <t>Hinweise</t>
  </si>
  <si>
    <t>Vorgabewerte</t>
  </si>
  <si>
    <t>Vorgabewert von blauen Eingabefeldern
Wert oder Formel kann bei Bedarf zur Wiederherstellung des Ausgangswertes in die zugehörige blaue Zelle übertragen können.</t>
  </si>
  <si>
    <t>Vorgabewert des Standardwertes</t>
  </si>
  <si>
    <t>Anteil der mit WKK erzeugten Nutzwärme</t>
  </si>
  <si>
    <t>Anteil der mit Zusatzwärmeerzeuger erzeugten Nutzwärme</t>
  </si>
  <si>
    <t>Anteil der erzeugten Nutzwärme aus Abgaskondensation</t>
  </si>
  <si>
    <t>Jahresnutzungsgrad WKK thermisch</t>
  </si>
  <si>
    <t>Jahresnutzungsgrad Zusatzwärmeerzeuger</t>
  </si>
  <si>
    <t>Anteil der mit Holzschnitzelkesseln erzeugten Nutzwärme</t>
  </si>
  <si>
    <t>Brennstoffpreis für WKK</t>
  </si>
  <si>
    <t>Brennstoffpreis für Zusatzwärmeerzeuger</t>
  </si>
  <si>
    <t>Anlagenteile Zustzwärmeerzeuger</t>
  </si>
  <si>
    <t xml:space="preserve"> jährlicher Brennstoffbedarf für WKK</t>
  </si>
  <si>
    <t xml:space="preserve"> jährliche Nutzwärme aus Kondensation</t>
  </si>
  <si>
    <t xml:space="preserve"> jährliche Energiekosten für WKK</t>
  </si>
  <si>
    <t>jährliche Energiekosten Zusatzwärmeerzeugung</t>
  </si>
  <si>
    <r>
      <t xml:space="preserve">spez. Unterhaltskosten: Prozentualer Anteil der Investitionskosten (siehe auch QMH Planungshandbuch)
</t>
    </r>
    <r>
      <rPr>
        <u/>
        <sz val="10"/>
        <rFont val="Arial"/>
        <family val="2"/>
      </rPr>
      <t>Hinweis</t>
    </r>
    <r>
      <rPr>
        <sz val="10"/>
        <rFont val="Arial"/>
        <family val="2"/>
      </rPr>
      <t>: Die Werte können zum Ausgleich ausseroerdentlcher Preisschwankungen manuell angepasst werden.</t>
    </r>
  </si>
  <si>
    <t>jährlicher Brennstoffbedarf fossil</t>
  </si>
  <si>
    <t xml:space="preserve"> jährliche Endenergiemenge von Zusatzwärmeerzeuger</t>
  </si>
  <si>
    <t>Produktion Pflanzenkohle</t>
  </si>
  <si>
    <t>b</t>
  </si>
  <si>
    <t>c</t>
  </si>
  <si>
    <t>d</t>
  </si>
  <si>
    <t>e</t>
  </si>
  <si>
    <t>101a</t>
  </si>
  <si>
    <t>101b</t>
  </si>
  <si>
    <t>101c</t>
  </si>
  <si>
    <t>101d</t>
  </si>
  <si>
    <t>101e</t>
  </si>
  <si>
    <t>g</t>
  </si>
  <si>
    <t>h</t>
  </si>
  <si>
    <t>f</t>
  </si>
  <si>
    <t>i</t>
  </si>
  <si>
    <t>j</t>
  </si>
  <si>
    <t>k</t>
  </si>
  <si>
    <t>l</t>
  </si>
  <si>
    <t>m</t>
  </si>
  <si>
    <t>o</t>
  </si>
  <si>
    <t>n</t>
  </si>
  <si>
    <t>allgemeine Informationen</t>
  </si>
  <si>
    <t>101k</t>
  </si>
  <si>
    <t>Vorgabewerte oder -Formeln aus blauen Feldern
Abweichungen werden in den blauen feldern gekennzeichnet.</t>
  </si>
  <si>
    <t>Energiekosten Zusatzwärmeerzeuger</t>
  </si>
  <si>
    <t>Energiekosten Abwärmenutzung</t>
  </si>
  <si>
    <t>Strom (Hilfsenergie + WP)</t>
  </si>
  <si>
    <t>q</t>
  </si>
  <si>
    <t>r</t>
  </si>
  <si>
    <t>w</t>
  </si>
  <si>
    <t>Total Anschlussbeiträge</t>
  </si>
  <si>
    <t>Total Fremdkapital</t>
  </si>
  <si>
    <t>571a</t>
  </si>
  <si>
    <t>571b</t>
  </si>
  <si>
    <t>571c</t>
  </si>
  <si>
    <t>571d</t>
  </si>
  <si>
    <t>Holz-schnitzel</t>
  </si>
  <si>
    <t xml:space="preserve"> Zusatzwärmeerzeuger</t>
  </si>
  <si>
    <t>WKK</t>
  </si>
  <si>
    <t>Betrieb- und Unterhalt</t>
  </si>
  <si>
    <t>571e</t>
  </si>
  <si>
    <t>572a</t>
  </si>
  <si>
    <t>572b</t>
  </si>
  <si>
    <t>574a</t>
  </si>
  <si>
    <t>574b</t>
  </si>
  <si>
    <t>145a</t>
  </si>
  <si>
    <t>Wärmeerzeugung und Installationen</t>
  </si>
  <si>
    <t>Hausstationen, Wärmemessung, -übergabe</t>
  </si>
  <si>
    <t>145m</t>
  </si>
  <si>
    <t>145j</t>
  </si>
  <si>
    <t>Total Anschlusbeiträge</t>
  </si>
  <si>
    <t>Zinsen</t>
  </si>
  <si>
    <t>Wärme- und Energieverkauf</t>
  </si>
  <si>
    <t>jährl. Fördergelder, Sonstiges</t>
  </si>
  <si>
    <t>Anschluss-beitreäge</t>
  </si>
  <si>
    <t>110a: Der Wärmebezug ist sehr gross</t>
  </si>
  <si>
    <t>110a: Der Gesamtwärmebezug ist sehr klein</t>
  </si>
  <si>
    <t>110b: Die Netzverluste des Wärmenetzes sind sehr niedrig</t>
  </si>
  <si>
    <t>110b: Die Netzverluste des Wärmenetzes sind sehr hoch</t>
  </si>
  <si>
    <t>110b: Keine Netzverluste eingegeben.</t>
  </si>
  <si>
    <t xml:space="preserve">110c: Die Abnahme des Wärmeabsatzes der Wärmebezüger ist negativ; Mehrverbrauch. </t>
  </si>
  <si>
    <t xml:space="preserve">110c: Die jährliche Abnahme des Wärmeabsatzes ist sehr hoch. </t>
  </si>
  <si>
    <t>110c: Keine jährliche Abnahme des Wärmeabsatzes eingegeben.</t>
  </si>
  <si>
    <t xml:space="preserve">110g: Das Jahr des Projektbeginns liegt vor 2000 </t>
  </si>
  <si>
    <t xml:space="preserve">110g: Das Jahr des Projektbeginns liegt nach 2100. </t>
  </si>
  <si>
    <t xml:space="preserve">110h: Das Jahr Inbetriebnahme liegt vor dem Projektbeginn. </t>
  </si>
  <si>
    <t xml:space="preserve">110h: Das Jahr der Inbetriebnahme liegt mehr als 3 Jahre nach dem Projektbeginn. Erste Wärmelieferung im Register Verbraucher anpassen. </t>
  </si>
  <si>
    <t>115a: Der mit dem Holzkessel erzeugte Anteil an der Jahreswärmemenge ist über 100%</t>
  </si>
  <si>
    <t>115a: Der mit dem Holzkessel erzeugte Anteil an der Jahreswärmemenge ist gering</t>
  </si>
  <si>
    <t>115c: Der mit der WKK erzeugte Anteil an der Jahreswärmemenge ist gering</t>
  </si>
  <si>
    <t>115b: Der mit der Abgaskondensation erzeugte Anteil an der Jahreswärmemenge ist gering</t>
  </si>
  <si>
    <t>115d: Der mit der WP erzeugte Anteil an der Jahreswärmemenge ist über 100%</t>
  </si>
  <si>
    <t>115b: Der mit der Abgaskondensation erzeugte Anteil an der Jahreswärmemenge ist sehr hoch</t>
  </si>
  <si>
    <t>115c: Der mit der WKK erzeugte Anteil an der Jahreswärmemenge ist über 100%</t>
  </si>
  <si>
    <t>115d: Der mit der WP erzeugte Anteil an der Jahreswärmemenge ist gering</t>
  </si>
  <si>
    <t>115e: Der mit dem Zusatzwärmeerzeuger erzeugte Anteil an der Jahreswärmemenge ist gering</t>
  </si>
  <si>
    <t>115e: Der mit dem Zusatzwärmeerzeuger erzeugte Anteil an der Jahreswärmemenge ist über 100%</t>
  </si>
  <si>
    <t>115f: Der mit Abwärme erzeugte Anteil an der Jahreswärmemenge ist gering</t>
  </si>
  <si>
    <t>115f: Der mit Abwärme erzeugte Anteil an der Jahreswärmemenge ist über 100%</t>
  </si>
  <si>
    <t xml:space="preserve">115l: Der thermische Jahresnutzungsgrad der WKK ist sehr tief </t>
  </si>
  <si>
    <t xml:space="preserve">115l: Der thermische Jahresnutzungsgrad der WKK ist sehr hoch </t>
  </si>
  <si>
    <t xml:space="preserve">115m: Der elektrische Jahresnutzungsgrad der WKK ist sehr tief </t>
  </si>
  <si>
    <t xml:space="preserve">115m: Der elektrische Jahresnutzungsgrad der WKK ist sehr hoch </t>
  </si>
  <si>
    <t>115n: Der Jahresnutzungsgrad des Zusatzwärmerzeugung ist sehr tief</t>
  </si>
  <si>
    <t>115n: Der Jahresnutzungsgrad des Zusatzwärmeerzeugers ist sehr hoch</t>
  </si>
  <si>
    <t xml:space="preserve">115o: Die Jahresarbeitszahl der WP ist sehr tief </t>
  </si>
  <si>
    <t>115o: Der Jahresarbeitszahl der WP ist sehr hoch</t>
  </si>
  <si>
    <t>u</t>
  </si>
  <si>
    <t>v</t>
  </si>
  <si>
    <t>x</t>
  </si>
  <si>
    <t>115u: Der Anteil Eigenverbrauch ist negativ</t>
  </si>
  <si>
    <t>115u: Der Anteil Eigenverbrauch ist über 100%</t>
  </si>
  <si>
    <t xml:space="preserve">115v: Der spezifische Stromverbrauch wurde sehr niedrig angenommen. </t>
  </si>
  <si>
    <t xml:space="preserve">115v: Der spezifische Stromverbrauch wurde sehr hoch angenommen. </t>
  </si>
  <si>
    <t xml:space="preserve">115x: Die Pflanzenkohleproduktion ist negativ </t>
  </si>
  <si>
    <t>115x: Die Pflanzenkohleproduktion ist sehr hoch</t>
  </si>
  <si>
    <t xml:space="preserve">115v: Der spezifische Stromverbrauch wurde Null gesetzt. </t>
  </si>
  <si>
    <t>115w: Der Anteil Eigenverbrauch ist negativ</t>
  </si>
  <si>
    <t>115w: Der Anteil Eigenverbrauch ist über 100%</t>
  </si>
  <si>
    <t>120a: Der Schnitzelpres ist negativ</t>
  </si>
  <si>
    <t>120a: Der Schnitzelpeis ist sehr hoch</t>
  </si>
  <si>
    <t>120c: Der Brennstoffpreis der WKK ist sehr tief</t>
  </si>
  <si>
    <t>120c: Der Brennstoffpreis WKK ist sehr hoch</t>
  </si>
  <si>
    <t>120d: Der Brennstoffpreis der Zusatzwärmeerzeugung ist sehr tief</t>
  </si>
  <si>
    <t>120d: Der Brennstoffpreis der Zusatzwärmeerzeugung ist sehr hoch</t>
  </si>
  <si>
    <t>120e: Der Preis des fossilen Brennstoffs ist sehr tief</t>
  </si>
  <si>
    <t>120e: Der Preis für den fossilen Brennstoff ist sehr hoch</t>
  </si>
  <si>
    <t>120f: Der Strompreis ist sehr tief</t>
  </si>
  <si>
    <t>120f: Der Strompreis ist sehr hoch</t>
  </si>
  <si>
    <t xml:space="preserve">120f: Der Strompreis ist Null. </t>
  </si>
  <si>
    <t xml:space="preserve">120e: Der Preis für den fossilen Brennstoff liegt niedriger als der Schnitzelpreis </t>
  </si>
  <si>
    <t>120g:Der Strompreis WP ist sehr tief</t>
  </si>
  <si>
    <t>12=g: Der Strompreis WP ist sehr hoch</t>
  </si>
  <si>
    <t>120g: Der Strompreis WP ist höher als der Strompreis allgeimen</t>
  </si>
  <si>
    <t>125a: Die jährlichen Personalkosten sind sehr tief</t>
  </si>
  <si>
    <t>125a: Die jährlichen Personalkosten sind sehr hoch</t>
  </si>
  <si>
    <t>125b: Der jährlichen externen Betriebskosten sind sehr tief</t>
  </si>
  <si>
    <t>125b: Die jährlichen externen Betriebskosten sind sehr hoch</t>
  </si>
  <si>
    <t>125c: Die jährlichen Unterhaltskosten sind sehr tief</t>
  </si>
  <si>
    <t>125c: Die jährlichen Unterhaltskosten sind sehr hoch</t>
  </si>
  <si>
    <t>125g: Die jährlichen Grundstückskosten sind sehr tief</t>
  </si>
  <si>
    <t>125g: Die jährlichen Grundstückskosten sind sehr hoch</t>
  </si>
  <si>
    <t>125h: Die sonstigen Kosten sind sehr tief</t>
  </si>
  <si>
    <t>125h: Die sonstigen Kosten sind sehr hoch</t>
  </si>
  <si>
    <t>125h: Es wurden keine sonstigen Kosten eingetragen</t>
  </si>
  <si>
    <t>125m: Die allgemeine Teuerung ist sehr tief</t>
  </si>
  <si>
    <t>125m: Die allgemeine Teuerung ist sehr hoch</t>
  </si>
  <si>
    <t>125n: Der nominale Zinssatz wurde negativ angenommen</t>
  </si>
  <si>
    <t>125n: Der Nominalzinssatz ist sehr hoch</t>
  </si>
  <si>
    <t>125o: Der Realzinssatz ist negativ</t>
  </si>
  <si>
    <t xml:space="preserve">125o: Der Realzinssatz ist sehr hoch </t>
  </si>
  <si>
    <t>145a: Die Baukosten für die Heizzentrale sind sehr tief</t>
  </si>
  <si>
    <t>145a: Die Baukosten für die Heizzentrale sind sehr hoch</t>
  </si>
  <si>
    <t>145b: Die Kosten für holzspezifische Anlagenteile sind sehr tief</t>
  </si>
  <si>
    <t>145b: Die Kosten für holzspezifische Anlagenteile sind sehr hoch</t>
  </si>
  <si>
    <t>145c: Die Kosten für die WKK-Ablage sind sehr tief</t>
  </si>
  <si>
    <t>145c: Die Kosten für die WKK-Anlage sind sehr hoch</t>
  </si>
  <si>
    <t>145d: Die Kosten für die WP sind sehr tief</t>
  </si>
  <si>
    <t xml:space="preserve">145d: Die Kosten für die WP sind sehr hoch. </t>
  </si>
  <si>
    <t>145e: Die Kosten für die Erdsonden/Grundwassernutzung sind sehr tief</t>
  </si>
  <si>
    <t xml:space="preserve">145e: Die Kosten für die Erdsonden/Grundwassernutzung sind sehr hoch. </t>
  </si>
  <si>
    <t>145f: Die Kosten für die Zusatzwärmeerzeugung sind sehr tief</t>
  </si>
  <si>
    <t>145f: Die Kosten für Zusatzwärmeerzeugung sind sehr hoch</t>
  </si>
  <si>
    <t>145g: Die Kosten für die AWN sind sehr tief</t>
  </si>
  <si>
    <t>145g: Die Kosten für die AWN sind sehr hoch</t>
  </si>
  <si>
    <t>145h: Die Kosten für spitzenlastspezifische Anlagenteile sind sehr hoch</t>
  </si>
  <si>
    <t>145h: Die Kosten für spitzenlastspezifische Anlagenteile sind sehr tief</t>
  </si>
  <si>
    <t>145i: Die Kosten für die Installationen in der Zentrale sind sehr tief</t>
  </si>
  <si>
    <t>145i: Die Kosten für die Installationen in der Zentrale sind sehr hoch</t>
  </si>
  <si>
    <t>145j: Die Baukosten für das Wärmenetz sind sehr tief</t>
  </si>
  <si>
    <t>145j: Die Baukosten für das Wärmenetz sind sind sehr hoch</t>
  </si>
  <si>
    <t>145k: Die Kosten für die Wärmemessung sind sehr tief</t>
  </si>
  <si>
    <t>145k: Die Kosten für die Wärmemessung sind sind sehr hoch</t>
  </si>
  <si>
    <t>145l: Die Kosten für die Hausstationen sind sehr tief</t>
  </si>
  <si>
    <t>145l: Die Kosten für die Hausstationen sind sind sehr hoch</t>
  </si>
  <si>
    <t>145m: Die Kosten für Planung und Unvorhergesehenes sind sehr tief</t>
  </si>
  <si>
    <t>145m: Die Kosten für Planung und Unvorhergesehenes sind sehr hoch</t>
  </si>
  <si>
    <t>145m: Die Kosten für Planung und Unvorhergesehenes sind unter 5% der Investitionskosten</t>
  </si>
  <si>
    <t>160a: Der Kredit ist negativ</t>
  </si>
  <si>
    <t>160a: Der Kredit ist höher als die gesamten Investitionskosten</t>
  </si>
  <si>
    <t>160b: Die Kreditlaufzeit ist sehr kurz</t>
  </si>
  <si>
    <t>160b: Die Kreditlaufzeit sollte nicht über 25 Jahren liegen!</t>
  </si>
  <si>
    <t>160c: Das Startjahr der Finanzierung ist vor Projektbeginn</t>
  </si>
  <si>
    <t>160c: Das Startjahr der Finanzierung ist weit nach Projektbeginn</t>
  </si>
  <si>
    <t>160d: Der Beginn der Amortisation ist vor der Kreditauszahlung</t>
  </si>
  <si>
    <t>160d: Die Amortisation des Kredits erfolgt sehr spät.</t>
  </si>
  <si>
    <t>160e: Der angegebene Kreditzinssatz ist sehr niedrig</t>
  </si>
  <si>
    <t>160e: Der Kreditzinssatz ist sehr hoch</t>
  </si>
  <si>
    <t>166a: Der eingegebene Förderbeitrag Paket 1 ist sehr tief</t>
  </si>
  <si>
    <t>166a: Der eingegebene Förderbeitrag Paket 1 ist zu hoch</t>
  </si>
  <si>
    <t>166b: Die Förderauszahlung von Paket 1 wurde mehr als 10 Jahre nach Projektbeginn eingegeben</t>
  </si>
  <si>
    <t>166b: Die Förderauszahlung von Paket 1 kann erst nach Projektbeginn erfolgen</t>
  </si>
  <si>
    <t>166a: Der eingegebene Förderbeitrag Paket 2 ist sehr tief</t>
  </si>
  <si>
    <t>166a: Der eingegebene Förderbeitrag Paket 2 ist zu hoch</t>
  </si>
  <si>
    <t>166b: Die Förderauszahlung von Paket 2 kann erst nach Projektbeginn erfolgen</t>
  </si>
  <si>
    <t>166b: Die Förderauszahlung von Paket 2 wurde mehr als 10 Jahre nach Projektbeginn eingegeben</t>
  </si>
  <si>
    <t>166a: Der eingegebene Förderbeitrag Paket 3 ist sehr tief</t>
  </si>
  <si>
    <t>166a: Der eingegebene Förderbeitrag Paket 3 ist zu hoch</t>
  </si>
  <si>
    <t>166b: Die Förderauszahlung von Paket 3 kann erst nach Projektbeginn erfolgen</t>
  </si>
  <si>
    <t>166b: Die Förderauszahlung von Paket 3 wurde mehr als 10 Jahre nach Projektbeginn eingegeben</t>
  </si>
  <si>
    <t>167a: Der eingegebene jährliche Förderbeitrag 1 sehr tief</t>
  </si>
  <si>
    <t>167a: Der eingegebene jährliche Förderbeitrag 1 ist sehr hoch</t>
  </si>
  <si>
    <t>167b: Die Dauer der jährlichen Förderung 1 ist sehr kurz</t>
  </si>
  <si>
    <t>167b: Die Dauer der jährlichen Förderung 1 ist sehr lang</t>
  </si>
  <si>
    <t>167c: Die jährliche Förderauszahlung 1 beginnt erst mehr als 10 Jahre nach Projektbeginn</t>
  </si>
  <si>
    <t>167c: Die jährliche Förderauszahlung 1 kann erst nach Projektbeginn erfolgen</t>
  </si>
  <si>
    <t>167a: Der eingegebene jährliche Förderbeitrag 2 sehr tief</t>
  </si>
  <si>
    <t>167a: Der eingegebene jährliche Förderbeitrag 2 ist sehr hoch</t>
  </si>
  <si>
    <t>167b: Die Dauer der jährlichen Förderung 2 ist sehr kurz</t>
  </si>
  <si>
    <t>167b: Die Dauer der jährlichen Förderung 2 ist sehr lang</t>
  </si>
  <si>
    <t>167c: Die jährliche Förderauszahlung 2 kann erst nach Projektbeginn erfolgen</t>
  </si>
  <si>
    <t>167c: Die jährliche Förderauszahlung 2 beginnt erst mehr als 10 Jahre nach Projektbeginn</t>
  </si>
  <si>
    <t>110a</t>
  </si>
  <si>
    <t>110b</t>
  </si>
  <si>
    <t>110c</t>
  </si>
  <si>
    <t>110g</t>
  </si>
  <si>
    <t>110h</t>
  </si>
  <si>
    <t>Erfassung der Energiemengen und der Nutzungsgrade</t>
  </si>
  <si>
    <t>115a</t>
  </si>
  <si>
    <t>115b</t>
  </si>
  <si>
    <t>115c</t>
  </si>
  <si>
    <t>115d</t>
  </si>
  <si>
    <t>115e</t>
  </si>
  <si>
    <t>115f</t>
  </si>
  <si>
    <t>115g</t>
  </si>
  <si>
    <t>115l</t>
  </si>
  <si>
    <t>thermischer Jahresnutzungsgrad der WKK-Anlage
Der Gesamtnutzungsgrad der WKK-Anlage berechnet sich aus der Summe des thermischen und des elektrischen Nutzungsgrades (siehe Abbildung)</t>
  </si>
  <si>
    <t>elektrischer Jahresnutzungsgrad der WKK-Anlage
Der Gesamtnutzungsgrad der WKK-Anlage berechnet sich aus der Summe des thermischen und des elektrischen Nutzungsgrades (siehe Abbildung)</t>
  </si>
  <si>
    <t>115m</t>
  </si>
  <si>
    <t>115n</t>
  </si>
  <si>
    <t>Jahresnutzungsgrad des Zusatzwärmeerzeugers</t>
  </si>
  <si>
    <t>115o</t>
  </si>
  <si>
    <t>Jahresarbeitszahl (JAZ) der Wärmepumpe</t>
  </si>
  <si>
    <t>115u</t>
  </si>
  <si>
    <t>115v</t>
  </si>
  <si>
    <t>115w</t>
  </si>
  <si>
    <t>115x</t>
  </si>
  <si>
    <t>Mit der WKK produzierte Pflanzenkohle in m³/a. Es ist nur die vermarktbare Pflanzenkohle und keine Asche einzutragen.</t>
  </si>
  <si>
    <t>Erfassung der Energiepreise</t>
  </si>
  <si>
    <t>120a</t>
  </si>
  <si>
    <t>120c</t>
  </si>
  <si>
    <t>Preis des eingesetzten Brennstoffs für die WKK-Anlage in CHF/MWh (Endenergie)</t>
  </si>
  <si>
    <t>120d</t>
  </si>
  <si>
    <t>Preis des eingesetzten Brennstoffs für den Zusatzwärmeerzeuger in CHF/MWh (Endenergie)</t>
  </si>
  <si>
    <t>120e</t>
  </si>
  <si>
    <r>
      <t>Preis des eingesetzten fossilen Brennstoffs (Heizöl oder Erdgas) in CHF/MWh (Endenergie).</t>
    </r>
    <r>
      <rPr>
        <b/>
        <sz val="10"/>
        <rFont val="Arial"/>
        <family val="2"/>
      </rPr>
      <t xml:space="preserve"> </t>
    </r>
    <r>
      <rPr>
        <sz val="10"/>
        <rFont val="Arial"/>
        <family val="2"/>
      </rPr>
      <t>Sollte ein nicht-fossiler Brennstoff zur Spitzenlastabdeckung eingesetzt werden, muss dieser auch hier eingesetzt werden.</t>
    </r>
  </si>
  <si>
    <t>120f</t>
  </si>
  <si>
    <t>120g</t>
  </si>
  <si>
    <t>Strompreis der Wärmepumpe in CHF/kWh (inkl. Anteil Anschlusskosten etc.) Der Vorgabewert entspricht dem allgemeinen Strompreis Pkt. 120f</t>
  </si>
  <si>
    <t>Preis der Abwärmenutzung in CHF/MWh</t>
  </si>
  <si>
    <t>mittlerer Einspeisetarif in CHF/kWh für die ins Netz eingespeiste Energie inkl. Herkunftsnachweis (HKN)</t>
  </si>
  <si>
    <t>120j</t>
  </si>
  <si>
    <t>mittlerer Verkaufspreis der Pflanzenkohle in CHF/m³</t>
  </si>
  <si>
    <t>Erfassung der Betriebskosten und sonstigen Aufwendungen (wesentliche Aufwendungen für das Projekt)</t>
  </si>
  <si>
    <t>125a</t>
  </si>
  <si>
    <r>
      <t xml:space="preserve">Betriebskosten: Personalkosten </t>
    </r>
    <r>
      <rPr>
        <sz val="10"/>
        <rFont val="Arial"/>
        <family val="2"/>
      </rPr>
      <t>für Bedienung, Reinigung, Wartung ohne Verwaltungsaufwand
Vorgabewert = Richtwert QMH PHB: 1.5% der Investitionskosten Wärmeerzeugung (Pkt. 145b–145h)</t>
    </r>
  </si>
  <si>
    <t>125b</t>
  </si>
  <si>
    <t>125c</t>
  </si>
  <si>
    <r>
      <rPr>
        <b/>
        <sz val="10"/>
        <rFont val="Arial"/>
        <family val="2"/>
      </rPr>
      <t>Unterhaltskosten</t>
    </r>
    <r>
      <rPr>
        <sz val="10"/>
        <rFont val="Arial"/>
        <family val="2"/>
      </rPr>
      <t>: Ersatzteile, Reparaturen (prozentualer Anteil der Investition gem. QMH, siehe Punkt 142)</t>
    </r>
  </si>
  <si>
    <t>125g</t>
  </si>
  <si>
    <t>125h</t>
  </si>
  <si>
    <r>
      <t>Sonstige jährliche Kosten (</t>
    </r>
    <r>
      <rPr>
        <b/>
        <sz val="10"/>
        <rFont val="Arial"/>
        <family val="2"/>
      </rPr>
      <t>Verwaltung, Versicherung, Steuern</t>
    </r>
    <r>
      <rPr>
        <sz val="10"/>
        <rFont val="Arial"/>
        <family val="2"/>
      </rPr>
      <t>, Homepage, Telefonie, öffentliche Gebühren, ...... etc.)
Vorgabewert: 1% der Gesamtinvestition Pkt. 145 (Richtwert QMH PHB :0.5–1.5%)</t>
    </r>
  </si>
  <si>
    <t>125m</t>
  </si>
  <si>
    <t>allgemeine jährliche Teuerung in %: Es kann ein Globalwert eingegeben werden, der als Vorgabe in die individuellen Teuerungen im Register B1_Berechnungen (Pkt. 511) übernommen wird.</t>
  </si>
  <si>
    <t>125n</t>
  </si>
  <si>
    <t>125o</t>
  </si>
  <si>
    <t>Realzins: berechnet aus Nominalzinssatz (125n) und mittlerer Teuerung (125m)</t>
  </si>
  <si>
    <t>145b</t>
  </si>
  <si>
    <t>145c</t>
  </si>
  <si>
    <t>Kosten für die WKK-Anlage</t>
  </si>
  <si>
    <t>145d</t>
  </si>
  <si>
    <t>Kosten für die Wärmepumpenanlage</t>
  </si>
  <si>
    <t>145e</t>
  </si>
  <si>
    <t>145f</t>
  </si>
  <si>
    <t>Kosten für den Zusatzwärmeerzeuger (nicht fossil)</t>
  </si>
  <si>
    <t>145g</t>
  </si>
  <si>
    <t>Kosten für die Abwärmenutzung</t>
  </si>
  <si>
    <t>145h</t>
  </si>
  <si>
    <t>145i</t>
  </si>
  <si>
    <t>145k</t>
  </si>
  <si>
    <t>145l</t>
  </si>
  <si>
    <t>145z</t>
  </si>
  <si>
    <t>z</t>
  </si>
  <si>
    <t>150a</t>
  </si>
  <si>
    <t>Etappe 1: Startjahr des Projektes (Pkt.: 110g) ist immer das Jahr der ersten Investitionen: Feld kann nicht bearbeitet werden; Investitionen, die nicht in den Folgeetappen (Punkte 150b ff) getätigt werden, fallen im Startjahr an.
(Formel: 100% Gesamtinvestition - Investitionsanteile Pkt. 150b ff)</t>
  </si>
  <si>
    <t>150b
-
150e</t>
  </si>
  <si>
    <r>
      <t xml:space="preserve">Etappe 2 ff: Jahr und Investitionsanteil der weiteren Etappen. Standardmässig folgt jede Etappe im Folgejahr der vorgängien Etappe.
Das Feld kann überschrieben werden.
</t>
    </r>
    <r>
      <rPr>
        <b/>
        <sz val="10"/>
        <rFont val="Arial"/>
        <family val="2"/>
      </rPr>
      <t>Hinweis:</t>
    </r>
    <r>
      <rPr>
        <sz val="10"/>
        <rFont val="Arial"/>
        <family val="2"/>
      </rPr>
      <t xml:space="preserve"> es darf kein Jahr doppelt geführt werden
</t>
    </r>
    <r>
      <rPr>
        <b/>
        <sz val="10"/>
        <rFont val="Arial"/>
        <family val="2"/>
      </rPr>
      <t xml:space="preserve">Achtung: </t>
    </r>
    <r>
      <rPr>
        <sz val="10"/>
        <rFont val="Arial"/>
        <family val="2"/>
      </rPr>
      <t>Das Überschreiben des Feldes löscht die Formel!</t>
    </r>
  </si>
  <si>
    <r>
      <t xml:space="preserve">Eingabe des </t>
    </r>
    <r>
      <rPr>
        <b/>
        <sz val="10"/>
        <rFont val="Arial"/>
        <family val="2"/>
      </rPr>
      <t xml:space="preserve">Eigenkapitals </t>
    </r>
    <r>
      <rPr>
        <sz val="10"/>
        <rFont val="Arial"/>
        <family val="2"/>
      </rPr>
      <t>resp. des Aktienkapitals
wird für die Berechnung der Investitionsdeckung benötigt.</t>
    </r>
  </si>
  <si>
    <r>
      <rPr>
        <b/>
        <sz val="10"/>
        <rFont val="Arial"/>
        <family val="2"/>
      </rPr>
      <t>Angaben zur Fremdfinanzierung des Projektes</t>
    </r>
    <r>
      <rPr>
        <sz val="10"/>
        <rFont val="Arial"/>
        <family val="2"/>
      </rPr>
      <t xml:space="preserve">
Es können zwei Kredite /  Darlehen eingetragen werden.</t>
    </r>
  </si>
  <si>
    <t>160a</t>
  </si>
  <si>
    <t>160b</t>
  </si>
  <si>
    <t>160c</t>
  </si>
  <si>
    <t>Startjahr des Darlehens. In Startjahr wird das Darlehen an das Projekt ausgezahlt. Die Zinszahlung beginnt im Folgejahr.</t>
  </si>
  <si>
    <t>Im Jahr vom Beginn der Amortistation des Darlehens ist die erste Amortisationsrate fällig</t>
  </si>
  <si>
    <t>160e</t>
  </si>
  <si>
    <t>160d</t>
  </si>
  <si>
    <r>
      <t xml:space="preserve">Einmalige Förderung
</t>
    </r>
    <r>
      <rPr>
        <sz val="10"/>
        <rFont val="Arial"/>
        <family val="2"/>
      </rPr>
      <t>Es können drei "Pakete" von einmaligen Förderbeiträgen (z.B. kantonale Förderung, EnergieZukunftSchweiz, Klimastiftung, Berghilfe etc.) mit unterschiedlichen Auszahlungsjahren  eingegeben werden.</t>
    </r>
  </si>
  <si>
    <t>166a</t>
  </si>
  <si>
    <t>166b</t>
  </si>
  <si>
    <t>Jahr der Förderauszahlung des Pakets. Es wird empfohlen, die Auszahlung frühestens nach der Inbetriebnahme, besser nach dem ersten Betriebsjahr in die Kalkulation einzubeziehen. Durch eine verzögerte Auszahlung entstehen zusätzliche Zinsen für das zwischenzeitlich benötigte Fremdkapital.</t>
  </si>
  <si>
    <t>Einmalig ausbezahlter Förderbeitrag des Pakets</t>
  </si>
  <si>
    <r>
      <rPr>
        <b/>
        <sz val="10"/>
        <rFont val="Arial"/>
        <family val="2"/>
      </rPr>
      <t>jährliche Förderung</t>
    </r>
    <r>
      <rPr>
        <sz val="10"/>
        <rFont val="Arial"/>
        <family val="2"/>
      </rPr>
      <t xml:space="preserve">
Nebst den einmaligen Förderungen kann auch eine befristete jährliche Förderung (z.B. KliK) eingegeben werden</t>
    </r>
  </si>
  <si>
    <t>167a</t>
  </si>
  <si>
    <t>167b</t>
  </si>
  <si>
    <t>167c</t>
  </si>
  <si>
    <r>
      <rPr>
        <b/>
        <sz val="10"/>
        <rFont val="Arial"/>
        <family val="2"/>
      </rPr>
      <t xml:space="preserve">Berechnete Werte
</t>
    </r>
    <r>
      <rPr>
        <sz val="10"/>
        <rFont val="Arial"/>
        <family val="2"/>
      </rPr>
      <t>Zahlenwerte, die sich aus den obigen Eingaben errechnen lassen und zur Kontrolle der Eingabe und Darstellung der Berechnung der Energiemengen dienen.</t>
    </r>
  </si>
  <si>
    <t>170a</t>
  </si>
  <si>
    <t>170b</t>
  </si>
  <si>
    <t>170c</t>
  </si>
  <si>
    <t>Mit Biomasse (Holzschnitzeln) erzeugte Nutzwärmemenge, berechnet aus Pkt. 115a</t>
  </si>
  <si>
    <t>Mit der direkten Kondensation erzeugte Nutzwärme, berechnet aus Pkt. 115b</t>
  </si>
  <si>
    <t>170d</t>
  </si>
  <si>
    <t>Brennstoffbedarf für die WKK, berechnet aus Pkt. 115c und 115l</t>
  </si>
  <si>
    <t>170e</t>
  </si>
  <si>
    <t>Mit der Wärmepumpe erzeugte Nutzwärmemenge, berechnet aus Pkt. 115d</t>
  </si>
  <si>
    <t>170f</t>
  </si>
  <si>
    <t>Endenegiebedarf des Zusatzwärmeerzeugers, berechnet aus Pkt. 115e und 115n</t>
  </si>
  <si>
    <t>170g</t>
  </si>
  <si>
    <t>Jährlicher Nutzwärmebedarf aus Abwärme, berchnet aus Pkt 115f</t>
  </si>
  <si>
    <t>170h</t>
  </si>
  <si>
    <t>170i</t>
  </si>
  <si>
    <t>170j</t>
  </si>
  <si>
    <t>170k</t>
  </si>
  <si>
    <t>170n</t>
  </si>
  <si>
    <t>170l</t>
  </si>
  <si>
    <t>170m</t>
  </si>
  <si>
    <t>jährliche Pflanzenkohleproduktion, Pkt. 115x</t>
  </si>
  <si>
    <t>jährliche Stromproduktion aus WKK, berechnet aus Pkt. 115c, 115m</t>
  </si>
  <si>
    <t>jährliche Stromeinspeisung ins Netz, berechnet aus Pkt. 170i, 115u, 115w</t>
  </si>
  <si>
    <r>
      <t xml:space="preserve">Energiekosten
</t>
    </r>
    <r>
      <rPr>
        <sz val="10"/>
        <rFont val="Arial"/>
        <family val="2"/>
      </rPr>
      <t>bezogen auf den mittleren Verbrauch Pkt. 170a</t>
    </r>
  </si>
  <si>
    <t>175a</t>
  </si>
  <si>
    <t>175b</t>
  </si>
  <si>
    <t>175c</t>
  </si>
  <si>
    <t>175d</t>
  </si>
  <si>
    <t>175e</t>
  </si>
  <si>
    <t>175f</t>
  </si>
  <si>
    <t>Ertrag aus Energie- und Pflanzenkohleverkauf</t>
  </si>
  <si>
    <t>177a</t>
  </si>
  <si>
    <t>177b</t>
  </si>
  <si>
    <t>jährlichen Energiekoste Biomasse (Holzschnitzel), berechnet aus Pkt. 170b, 120a</t>
  </si>
  <si>
    <t>jährliche Energiekosten WKK, berechnet aus Pkt. 170d, 120c</t>
  </si>
  <si>
    <t>jährliche Energiekosten Zustazwärmeerzeuger, berechnet aus Pkt. 170f, 120d</t>
  </si>
  <si>
    <t>jährliche Energiekosten für die Abwärmenutzung, berechnet aus Pkt. 170g, 120h</t>
  </si>
  <si>
    <t>jährliche Energiekosten für den Einkauf der fossilen Spitzenlastenergie, berechnet aus Pkt. 170h, 120e</t>
  </si>
  <si>
    <t>jährliche Stromkosten für die WP (Bezug vom Netz), berechnet aus Pkt. 170k, 120g</t>
  </si>
  <si>
    <t>jährliche Stromkosten für Hilfsenergie (Netzbezug), berechnet aus Pkt. 170l, 120f</t>
  </si>
  <si>
    <t>Ertrag aus der Stromeinspeisung, berechnet aus Pkt. 170m, 120i</t>
  </si>
  <si>
    <t>Ertrag aus dem Verkauf der Pflanzenkohle, berechnet aus Pkt. 115x, 120j</t>
  </si>
  <si>
    <t>Gesamtmenge der Fördermittel, berechnet aus den einmaligen Förderbeiträgen (Pkt. 166) und der jährlichen Förderung (Pkt. 167)</t>
  </si>
  <si>
    <t>190a</t>
  </si>
  <si>
    <t>190b</t>
  </si>
  <si>
    <t>190c</t>
  </si>
  <si>
    <t>190d</t>
  </si>
  <si>
    <t>190e</t>
  </si>
  <si>
    <t>190f</t>
  </si>
  <si>
    <t>Ertrag aus Strom- und Pflanzenkohleverkauf, berechnet aus Pkt. 177</t>
  </si>
  <si>
    <t>190g</t>
  </si>
  <si>
    <t>190h</t>
  </si>
  <si>
    <t>Jahreskosten berechnt aus der Kapitalisierung der Investitionskosten für die Wärmeerzeugung inkl. Zentralengebäude best. aus den Punkten 145a–145h und 50% der Planungskosten (Pkt. 145m), dem Realzinssatz und der Abschreibedauer</t>
  </si>
  <si>
    <t>Jahreskosten berechnte aus der Kapitalisierung der Investitionskosten für die Wärmeverteilung inkl. Hausstationen best. aus den Punkten 145i–145l und 50% der Planungskosten (Pkt. 145m), dem Realzinssatz und der Abschreibedauer</t>
  </si>
  <si>
    <t>Wartungs- und Unterhaltskosten für die Wärmeerzeugung
Unterhaltskosten berechnet aus den Investionen aus Pkt. 145a–145h + 50% aus Pkt. 145m und den spezifiischen Unterhaltskosten (Pkt. 142)
Wartungskosten berechnet aus dem Anteil der Unterhaltskosten für die Wärmeerzeugung an den Gesamtunterhaltskosten aus Pkt. 125</t>
  </si>
  <si>
    <t>Wartungs- und Unterhaltskosten für die Wärmeverteilung
Unterhaltskosten berechnet aus den Investionen aus Pkt. 145i–145l + 50% aus Pkt. 145m und den spezifiischen Unterhaltskosten (Pkt. 142)
Wartungskosten berechnet aus dem Anteil der Unterhaltskosten für die Wärmeverteilung an den Gesamtunterhaltskosten aus Pkt. 125</t>
  </si>
  <si>
    <t>Summe der Jahreskosten und Wärmegestehungskosten aus Pkt. 190a–190f</t>
  </si>
  <si>
    <t>Reduktion der Jahreskosten aufgrund der Förderung. Die Summe der Förderungen kapitalisiert über 25 Jahre.</t>
  </si>
  <si>
    <t>Jährliche Energiekosten berechnet aus Pkt. 175</t>
  </si>
  <si>
    <t>Grundpreis der Tarifstufe: Grundpreis in CHF pro Jahr je kW abonnierte Wärmeleistung gemäss Wärmeliefervertrag.
Um eine Berechnung ohne Grundpreis durchzuführen, ist in dieses Feld gleich Null zu setzen.
Üblicherweise werden die Grundpreise je kW installierte Leistung mit zunehmender Leistung des Anschlusses etwas geringer.</t>
  </si>
  <si>
    <t>211ff</t>
  </si>
  <si>
    <t>Tarifstufen
Im Eingabefeld ist ein Name für die Tarifstufe einzutragen
Im Feld  "% der Wärmemenge" wird der Anteil der Wärmemenge dieser Tarifstufe anhand der Angaben im Register E3_Verbraucher berechnet.</t>
  </si>
  <si>
    <r>
      <rPr>
        <b/>
        <sz val="10"/>
        <rFont val="Arial"/>
        <family val="2"/>
      </rPr>
      <t>Registerblatt "B1_Berechnungen"
Kalkulationsblatt:</t>
    </r>
    <r>
      <rPr>
        <sz val="10"/>
        <rFont val="Arial"/>
        <family val="2"/>
      </rPr>
      <t xml:space="preserve"> Darstellung der vereinfachten finanziellen Entwicklung des Projekts innerhalb von 25 Jahren.
Der Abschnitt Betriebskosten (Pkt. 510) basiert auf den berechneten Werten aus dem Register "E1_Projektdaten". </t>
    </r>
    <r>
      <rPr>
        <sz val="10"/>
        <color rgb="FFFF0000"/>
        <rFont val="Arial"/>
        <family val="2"/>
      </rPr>
      <t xml:space="preserve">
</t>
    </r>
    <r>
      <rPr>
        <sz val="10"/>
        <rFont val="Arial"/>
        <family val="2"/>
      </rPr>
      <t xml:space="preserve">Die Verfahren der dynamischen Investitionsrechnung berücksichtigen den Zahlungszeitpunkt der einzelnen Einnahmen und Ausgaben per Ende Jahr.
</t>
    </r>
  </si>
  <si>
    <r>
      <t xml:space="preserve">Zusammenstellung der </t>
    </r>
    <r>
      <rPr>
        <b/>
        <sz val="10"/>
        <rFont val="Arial"/>
        <family val="2"/>
      </rPr>
      <t>Betriebskosten</t>
    </r>
    <r>
      <rPr>
        <sz val="10"/>
        <rFont val="Arial"/>
        <family val="2"/>
      </rPr>
      <t>: Es werden jeweils die theoretischen Gesamtkosten beim Vollausbau (100% Anschluss) im ersten Betriebsjahr (ohne Teuerung) dargestellt.</t>
    </r>
  </si>
  <si>
    <t>510a</t>
  </si>
  <si>
    <t xml:space="preserve">Total der Betriebskosten: Berechnet aus der Summe der Punkte: 510a-510k.
Die Teuerung entspricht dem gewichteten Mittelwert der Teuerungen von Pkt. 510a-510k </t>
  </si>
  <si>
    <t>510b</t>
  </si>
  <si>
    <t>510c</t>
  </si>
  <si>
    <t>510d</t>
  </si>
  <si>
    <t>510e</t>
  </si>
  <si>
    <t>510f</t>
  </si>
  <si>
    <t>510g</t>
  </si>
  <si>
    <t>510h</t>
  </si>
  <si>
    <t>510i</t>
  </si>
  <si>
    <t>510j</t>
  </si>
  <si>
    <t>510k</t>
  </si>
  <si>
    <t>510w</t>
  </si>
  <si>
    <t>Teuerung des Wärmeverkaufspreises: Übernimmt den gewichteten Mittelwert der Teuerungen von Pkt. 510a-510k (Der Wert kann überschrieben werden. Das Überschreiben des berechneten Wertes löscht die hinterlegte Formel!)</t>
  </si>
  <si>
    <t>Energieksoten Zusatzwärmeerzeuger: Pkt. 175c</t>
  </si>
  <si>
    <t>Energieksoten Abwärmenutzung: Pkt. 175d</t>
  </si>
  <si>
    <t>Brennstoffkosten fossil: Pkt. 175e</t>
  </si>
  <si>
    <t>Stromkosten Netzbezug: Summe Pkt. 175f + 175g</t>
  </si>
  <si>
    <t>Unterhaltskosten: siehe Pkt. 125c</t>
  </si>
  <si>
    <t>Miete /Pacht / Grundstückskosten: siehe Pkt. 125g</t>
  </si>
  <si>
    <t>Sonstige (Versicherung etc.): siehe Pkt. 125h</t>
  </si>
  <si>
    <t>Berechnungen über die Projektlaufzeit von 25 Jahren</t>
  </si>
  <si>
    <t>Ertrag aus der Stromeinspeisung inkl. HKN</t>
  </si>
  <si>
    <t>Ertrag aus dem Verkauf von Pflanzenkohle</t>
  </si>
  <si>
    <t>Auszahlung von jährlich wiederkehrenden Fördergelder (Pkt. 167)
Die Werte können überschrieben werden.
Achtung: Das Überschreiben der Formeln löscht die Berechnung</t>
  </si>
  <si>
    <t>Effektiver Ertrag: Für die laufende Nachkalkulation können in dieser Spalte die effektiven Jahreserträge eingetragen werden.
Ist in der Spalte ein Wert &gt;0 eingetragen, werden im betreffenden Jahr für die weiteren Auswertungen die Einträge in den Spalten 561 bis 566 ignoriert.
Achtung NPV: Diese Erträge werden nicht automatisch ins Registerblatt "A2_NPV-Daten" übernommen.</t>
  </si>
  <si>
    <t>Brennstoffkosten Holzschnitzel, Teuerung eingerechnet</t>
  </si>
  <si>
    <t>Brennstoffkosten der WKK,  Teuerung eingerechnet</t>
  </si>
  <si>
    <t>Energiekosten der Abwärmenutzung, Teuerung eingerechnet</t>
  </si>
  <si>
    <t>Energiekosten des Zusatzwärmeerzeugers, Teuerung eingerechnet</t>
  </si>
  <si>
    <t>Kosten fossiler Brennstoffe, Teuerung eingerechnet</t>
  </si>
  <si>
    <t>Stromkosten für die Wärmepumpe, Teuerung eingerechnet</t>
  </si>
  <si>
    <t>Stromkosten für die Hilfsenergie, Teuerung eingerechnet</t>
  </si>
  <si>
    <t>Unterhaltskosten: siehe auch Pkt. 125c, Teuerung eingerechnet, die Kosten werden erst ab dem Jahr der ersten Wärmelieferung berechnet
Hinweis: Die Unterhaltskosten werden im Tool nach dem selben Verteiler gestaffelt wie die Investitionskosten (siehe Pkt. 150 Inbvestitionsstaffelung). Bei Abweichungen zwischen den effektiven Unterhaltskosten und den in Pkt. 574b ausgewiesenen Aufwendungen, sind die Prozentsätze in Pkt. 142 entsprechend anzupassen oder Korrekturbeträge in der Spalte "zusätzlicher Aufwand" Pkt. 576 einzutragen.</t>
  </si>
  <si>
    <t>sonstige Kosten und Miet- und Pachtaufwand, Teuerung eingerechnet, diese Kosten fallen ab dem ersten Jahr an</t>
  </si>
  <si>
    <t>Zusätzliche Aufwendungen oder Korrekturen der berechneten Aufwendungen (Differenzen) können in dieser Spalte eingetragen werden. Zur Verbesserung der Verständlichkeit ist der Spaltentitel überschreibbar.
Hinweis: Diese Aufwendungen werden nicht als Wertmehrung im Anlagenwert verbucht.
Achtung NPV: Diese Aufwendungen werden im Registerblatt "A2_NPV-Daten" unter Pkt. 930 aufgeführt. Sie müssen manuell an die richtigen Stellen  übertragen werden!</t>
  </si>
  <si>
    <t>Effektiver Aufwand: Für die laufende Nachkalkulation können in dieser Spalte die effektiven Jahreskosten eingetragen werden.
Ist in der Spalte ein Wert &gt;0 eingetragen, werden im betreffenden Jahr für die weiteren Auswertungen die Einträge in den Spalten 571a bis 576 ignoriert
Achtung NPV: Diese Aufwendungen werden nicht ins Registerblatt "A2_NPV-Daten" übernommen.</t>
  </si>
  <si>
    <t>Abschreibung der Investitionen (Pkt. 145) über die Abschreibedauer (Pkt. 143)
Hinweis: Fällige Ersatzinvestitionen werden ebenfalls abgeschrieben</t>
  </si>
  <si>
    <t>Erfolgsrechnung: Jahresgewinn / Verlust aus Ertrag (Pkt. 569), Aufwand (Pkt. 579), und Abschreibungen (Pkt. 585)</t>
  </si>
  <si>
    <t>Betriebsjahr: Jahr der Inbetriebnahme (Pkt. 110h) = Jahr 1 (informativ). Aus diesem Wert wird der Zeitpunkt von Erneuerungsinvestitionen errechnet.</t>
  </si>
  <si>
    <r>
      <rPr>
        <b/>
        <sz val="10"/>
        <rFont val="Arial"/>
        <family val="2"/>
      </rPr>
      <t>Diagramm</t>
    </r>
    <r>
      <rPr>
        <sz val="10"/>
        <rFont val="Arial"/>
        <family val="2"/>
      </rPr>
      <t xml:space="preserve"> Wirtschaftliche Entwicklung  im Verlauf der Perioden 1-25. 
</t>
    </r>
  </si>
  <si>
    <r>
      <rPr>
        <b/>
        <sz val="10"/>
        <rFont val="Arial"/>
        <family val="2"/>
      </rPr>
      <t xml:space="preserve">Finanzierung: </t>
    </r>
    <r>
      <rPr>
        <sz val="10"/>
        <rFont val="Arial"/>
        <family val="2"/>
      </rPr>
      <t>Zusammenstellung</t>
    </r>
  </si>
  <si>
    <r>
      <rPr>
        <b/>
        <sz val="10"/>
        <rFont val="Arial"/>
        <family val="2"/>
      </rPr>
      <t>Jahreskosten</t>
    </r>
    <r>
      <rPr>
        <sz val="10"/>
        <rFont val="Arial"/>
        <family val="2"/>
      </rPr>
      <t>: Die Auswertung erfolgt einerseits für das Jahr der Inbetriebnahme (Pkt. 110h), für ein wählbares Jahr innerhalb des Betrachtungsraumes und als Summe über die gesamte Projektlaufzeit.</t>
    </r>
  </si>
  <si>
    <r>
      <rPr>
        <b/>
        <sz val="10"/>
        <rFont val="Arial"/>
        <family val="2"/>
      </rPr>
      <t>Total Ertrag</t>
    </r>
    <r>
      <rPr>
        <sz val="10"/>
        <rFont val="Arial"/>
        <family val="2"/>
      </rPr>
      <t>: Berechnete Summe aus den Punkten 625 und 626
Achtung: Diese Auswertung wird nicht angepasst, wenn im Eingabefeld von Pkt. 567 ein effektiver Aufwand eingetragen wird!</t>
    </r>
  </si>
  <si>
    <r>
      <rPr>
        <b/>
        <sz val="10"/>
        <rFont val="Arial"/>
        <family val="2"/>
      </rPr>
      <t>Total Aufwand</t>
    </r>
    <r>
      <rPr>
        <sz val="10"/>
        <rFont val="Arial"/>
        <family val="2"/>
      </rPr>
      <t>: Berechnete Summe aus den Punkten 621 bis 623
Achtung: Diese Auswertung wird nicht angepasst, wenn im Eingabefeld von Pkt. 577 ein effektiver Aufwand eingetragen wird!</t>
    </r>
  </si>
  <si>
    <t>190i</t>
  </si>
  <si>
    <t>Reduzierte Jahreskosten aufgrund der Förderung</t>
  </si>
  <si>
    <t>Wärmemengen, Netzverluste und allgemeine Angaben zum Projekt</t>
  </si>
  <si>
    <t>115q</t>
  </si>
  <si>
    <t>120n</t>
  </si>
  <si>
    <t>120m</t>
  </si>
  <si>
    <t>Fossiler Endenergiebedarf für die Spitzenlastdeckung, berechnet aus Pkt. 115g und Pkt. 115q</t>
  </si>
  <si>
    <t>175h</t>
  </si>
  <si>
    <t>Arbeitspreis Tarifstufe: Arbeitspreis in CHF je kWh für die verkaufte Wärmemenge.</t>
  </si>
  <si>
    <t xml:space="preserve">Vertragslaufzeit Tarifstufe: Die übliche (durchschnittliche) Vertragslaufzeit für Wärmeverträge dieser Tarifstufe. Nach Ablauf dieser Laufzeit kann ein neuer Vertrag mit anderen Tarifen ausgehandelt werden. Da die Verträge üblicherweise stillschweigend erneuert werden, hat der Vertragsablauf keinen Einfluss auf die Berechnungen im Registerblatt "B1_Berechnungen".
Die Vertragslaufzeit wird für die Berechnung der Kapitalkosten der Wärmebezüger (Pkt. 330) verwendet. </t>
  </si>
  <si>
    <t>Netto Investitionen</t>
  </si>
  <si>
    <r>
      <t xml:space="preserve">Auszahlung von </t>
    </r>
    <r>
      <rPr>
        <b/>
        <sz val="10"/>
        <rFont val="Arial"/>
        <family val="2"/>
      </rPr>
      <t>Fördergeldern</t>
    </r>
    <r>
      <rPr>
        <sz val="10"/>
        <rFont val="Arial"/>
        <family val="2"/>
      </rPr>
      <t xml:space="preserve"> die einmalig ausbezahlt werden (Pkt. 166). Diese Fördergelder  werden als Finanzierungshilfe und nicht als Ertrag berücksichtigt. 
Achtung: Das Überschreiben der Formeln löscht die Berechnung</t>
    </r>
  </si>
  <si>
    <r>
      <rPr>
        <b/>
        <sz val="10"/>
        <rFont val="Arial"/>
        <family val="2"/>
      </rPr>
      <t>Netto-Investitiopnskosten</t>
    </r>
    <r>
      <rPr>
        <sz val="10"/>
        <rFont val="Arial"/>
        <family val="2"/>
      </rPr>
      <t>, die im betreffenden Jahr aufgewendet werden müssen. Berechnet aus Pkt. 541 bis 543)</t>
    </r>
  </si>
  <si>
    <t>CHF/MWh Endenergie</t>
  </si>
  <si>
    <t>Rp/kWhel</t>
  </si>
  <si>
    <t>145z: Die Investitionskosten sind sehr tief</t>
  </si>
  <si>
    <t>145z: Die Investitionskosten sind sehr hoch</t>
  </si>
  <si>
    <t>155: Das Eigenkapital ist sehr tief</t>
  </si>
  <si>
    <t>155: Das Eigenkapital ist hoch</t>
  </si>
  <si>
    <t>510q</t>
  </si>
  <si>
    <t>510r</t>
  </si>
  <si>
    <t>Ertrag aus Stromverkauf: siehe Pkt. 177a</t>
  </si>
  <si>
    <t>Ertrag aus dem Pflanzenkohleverkauf: siehe Pkt. 177b</t>
  </si>
  <si>
    <t>Gesamt-aufwand vor Abschreibungen</t>
  </si>
  <si>
    <r>
      <rPr>
        <b/>
        <sz val="10"/>
        <rFont val="Arial"/>
        <family val="2"/>
      </rPr>
      <t>Investitionen</t>
    </r>
    <r>
      <rPr>
        <sz val="10"/>
        <rFont val="Arial"/>
        <family val="2"/>
      </rPr>
      <t xml:space="preserve">: Die Erstinvestition wird zum prozentualen Anteil (Pkt. 150) im ersten Jahr in dieser Spalte verbucht. Die weiteren Investitionen, werden anteilsmässig in den entsprechenden Jahren verbucht.
Ersatzinvestitionen werden nach Ablauf der Nutzungsdauer (Pkt. 143) inkl. Einrechnung der allgemeinen Teuerung (Pkt. 125m) erneut investiert. </t>
    </r>
  </si>
  <si>
    <r>
      <rPr>
        <b/>
        <sz val="10"/>
        <rFont val="Arial"/>
        <family val="2"/>
      </rPr>
      <t>Jahr</t>
    </r>
    <r>
      <rPr>
        <sz val="10"/>
        <rFont val="Arial"/>
        <family val="2"/>
      </rPr>
      <t xml:space="preserve"> - die Periodisierung dieses Berechnungswerkzeugs ist 1 Periode = 1 Betriebsjahr.</t>
    </r>
  </si>
  <si>
    <r>
      <rPr>
        <b/>
        <sz val="10"/>
        <rFont val="Arial"/>
        <family val="2"/>
      </rPr>
      <t>Wärmeerzeugungsanlagen</t>
    </r>
    <r>
      <rPr>
        <sz val="10"/>
        <rFont val="Arial"/>
        <family val="2"/>
      </rPr>
      <t xml:space="preserve"> und Installationen: Berechnete Summe aus den Punkten 145a bis 145i</t>
    </r>
  </si>
  <si>
    <r>
      <rPr>
        <b/>
        <sz val="10"/>
        <rFont val="Arial"/>
        <family val="2"/>
      </rPr>
      <t>Hausstationen</t>
    </r>
    <r>
      <rPr>
        <sz val="10"/>
        <rFont val="Arial"/>
        <family val="2"/>
      </rPr>
      <t xml:space="preserve"> inkl. Wärmemessungen: Berechnete Summe aus den Punkten 145k und 145l</t>
    </r>
  </si>
  <si>
    <r>
      <rPr>
        <b/>
        <sz val="10"/>
        <rFont val="Arial"/>
        <family val="2"/>
      </rPr>
      <t>Energiekosten</t>
    </r>
    <r>
      <rPr>
        <sz val="10"/>
        <rFont val="Arial"/>
        <family val="2"/>
      </rPr>
      <t>: Berechnete Summe aus den Punkten 571 und 572.
Achtung: Diese Auswertung wird nicht angepasst, wenn im Eingabefeld von Pkt. 577 ein effektiver Aufwand eingetragen wird!</t>
    </r>
  </si>
  <si>
    <r>
      <rPr>
        <b/>
        <sz val="10"/>
        <rFont val="Arial"/>
        <family val="2"/>
      </rPr>
      <t>Betrieb und Unterhalt</t>
    </r>
    <r>
      <rPr>
        <sz val="10"/>
        <rFont val="Arial"/>
        <family val="2"/>
      </rPr>
      <t>: Berechnete Summe aus den Punkten 574, 575 und 576
Achtung: Diese Auswertung wird nicht angepasst, wenn im Eingabefeld von Pkt. 577 ein effektiver Aufwand eingetragen wird!</t>
    </r>
  </si>
  <si>
    <r>
      <rPr>
        <b/>
        <sz val="10"/>
        <rFont val="Arial"/>
        <family val="2"/>
      </rPr>
      <t>Verzinsung</t>
    </r>
    <r>
      <rPr>
        <sz val="10"/>
        <rFont val="Arial"/>
        <family val="2"/>
      </rPr>
      <t xml:space="preserve"> des Fremdkapitals: Übertrag aus dem Punkt 578</t>
    </r>
  </si>
  <si>
    <r>
      <t xml:space="preserve">Wärme- und Energieverkauf sowie </t>
    </r>
    <r>
      <rPr>
        <b/>
        <sz val="10"/>
        <rFont val="Arial"/>
        <family val="2"/>
      </rPr>
      <t>Ertrag</t>
    </r>
    <r>
      <rPr>
        <sz val="10"/>
        <rFont val="Arial"/>
        <family val="2"/>
      </rPr>
      <t xml:space="preserve"> aus dem Pflanzenkohleverkauf: Berechnete Summe aus den Punkten 561, 562 und 563
Achtung: Diese Auswertung wird nicht angepasst, wenn im Eingabefeld von Pkt. 567 ein effektiver Aufwand eingetragen wird!</t>
    </r>
  </si>
  <si>
    <r>
      <t xml:space="preserve">jährliche </t>
    </r>
    <r>
      <rPr>
        <b/>
        <sz val="10"/>
        <rFont val="Arial"/>
        <family val="2"/>
      </rPr>
      <t>Fördergelder</t>
    </r>
    <r>
      <rPr>
        <sz val="10"/>
        <rFont val="Arial"/>
        <family val="2"/>
      </rPr>
      <t xml:space="preserve"> und sonstiges: Berechnete Summe aus den Punkten 564 und 566
Achtung: Diese Auswertung wird nicht angepasst, wenn im Eingabefeld von Pkt. 567 ein effektiver Aufwand eingetragen wird!</t>
    </r>
  </si>
  <si>
    <r>
      <rPr>
        <b/>
        <sz val="10"/>
        <rFont val="Arial"/>
        <family val="2"/>
      </rPr>
      <t>Grafik</t>
    </r>
    <r>
      <rPr>
        <sz val="10"/>
        <rFont val="Arial"/>
        <family val="2"/>
      </rPr>
      <t>: Entwicklung der Netzauslastung über den Projektzeitraum (Diagramm)</t>
    </r>
  </si>
  <si>
    <t>max. Gesamtwärmebezug der Abnehmer</t>
  </si>
  <si>
    <r>
      <t xml:space="preserve">Teuerungsspalte: Als Standard wird die allgemeine Teuerung, die im Register E1_Projektdaten (Pkt. 125m) erfasst wird eingesetzt.
Es kann jedoch für jede Kostenposition eine individuelle jährliche Teuerung eingesetzt werden.
In Pkt. 510b Biomasse ist auch der Brennstoff und die Teuerung der WKK-Anlage enthalten.
In Pkt. 510w (Wärmepreis) wird die Teuerung aufgrund des gewichteten Mittelwertes berechnet. Der Wert kann bei Bedarf überschrieben werden
</t>
    </r>
    <r>
      <rPr>
        <b/>
        <sz val="10"/>
        <rFont val="Arial"/>
        <family val="2"/>
      </rPr>
      <t>Achtung</t>
    </r>
    <r>
      <rPr>
        <sz val="10"/>
        <rFont val="Arial"/>
        <family val="2"/>
      </rPr>
      <t>: Das Überschreiben des berechneten Wertes löscht die hinterlegte Formel!</t>
    </r>
  </si>
  <si>
    <r>
      <t xml:space="preserve">Jahreskosten und Wärmegestehungskosten
</t>
    </r>
    <r>
      <rPr>
        <sz val="10"/>
        <rFont val="Arial"/>
        <family val="2"/>
      </rPr>
      <t>Jahreskosten =  mittlere jährliche Kosten, berechnet aus Pkt. 170 - 179
Wärmegestehungskosten = spezifiische Kosten je kWh abgegebener Nutzwärme, berechnet aus den Jahreskosten dividiert durch die mittlere erzeugte Nutzwärme (Pkt. 170a)</t>
    </r>
  </si>
  <si>
    <t>mittlere erzeugte Jahreswärmemenge: Berechnt aus der produzierten Jahreswärmemenge gem. Register "B1_Berechnungen" Spalte "Wärmebedarf" (Pkt. 532) (Betrachtung über die Projektlauftzeit von 25 Jahren.</t>
  </si>
  <si>
    <r>
      <rPr>
        <b/>
        <sz val="10"/>
        <rFont val="Arial"/>
        <family val="2"/>
      </rPr>
      <t>Sensitivität Wärmegestehungspreis</t>
    </r>
    <r>
      <rPr>
        <sz val="10"/>
        <rFont val="Arial"/>
        <family val="2"/>
      </rPr>
      <t xml:space="preserve">
Auswirkungen von Änderungen verschiedener Parameter auf den Wärmegestehungspreis
In der Tabelle wird der jeweils resultierende Wärmegestehungspreis inkl. Förderung Pkt. 190i ausgegeben</t>
    </r>
  </si>
  <si>
    <t>Auswahl der zu beeinflussenden Grösse für den Zeilenbezug der Sensitivitätsanalyse</t>
  </si>
  <si>
    <t>Änderung der zu beeinflussenden Grösse in %</t>
  </si>
  <si>
    <t>Auswahl der zu beeinflussenden Grösse für den Spaltenbezug der Sensitivitätsanalyse und Änderung der zu beeinflussenden Grösse in %</t>
  </si>
  <si>
    <t>Investitionen</t>
  </si>
  <si>
    <r>
      <rPr>
        <b/>
        <sz val="10"/>
        <rFont val="Arial"/>
        <family val="2"/>
      </rPr>
      <t>Wärmebedarf</t>
    </r>
    <r>
      <rPr>
        <sz val="10"/>
        <rFont val="Arial"/>
        <family val="2"/>
      </rPr>
      <t xml:space="preserve"> der zum aktuellen Zeitpunkt angeschlossenen Verbraucher inkl. prozentualem Zuschlag für Netzverluste (Pkt. 110b) und Berücksichtigung des jährlichen Rückganges des Wärmebedarfes (Pkt. 110c)</t>
    </r>
  </si>
  <si>
    <t>Stand Eigenmittel</t>
  </si>
  <si>
    <t xml:space="preserve">Eigenmittel </t>
  </si>
  <si>
    <t>Kapitalkosten</t>
  </si>
  <si>
    <t>Wärme-verkauf
(inkl. jährl. Grundpreis)</t>
  </si>
  <si>
    <t>Ertrag aus dem Fernwärmeverkauf: Grundpreis und Wärmeverkauf</t>
  </si>
  <si>
    <t>Invest; CashFlow</t>
  </si>
  <si>
    <t>Invest; Restwert; CashFlow</t>
  </si>
  <si>
    <t>Kreditguthaben 1</t>
  </si>
  <si>
    <t>Kreditbedarf 1</t>
  </si>
  <si>
    <t>Kreditstand 1</t>
  </si>
  <si>
    <t>Kreditstand 2</t>
  </si>
  <si>
    <t>Kreditbedarf 2</t>
  </si>
  <si>
    <t>Kreditguthaben 2</t>
  </si>
  <si>
    <t>Hilfsberechnungen</t>
  </si>
  <si>
    <t>Wärmebedarf im Anschlussjahr [%]</t>
  </si>
  <si>
    <t>Kredit</t>
  </si>
  <si>
    <t>Finanzie-rungslücke</t>
  </si>
  <si>
    <t>Gesamt-aufwand inkl. Abschreibungen</t>
  </si>
  <si>
    <t>einm. Förderung des Anschlusses</t>
  </si>
  <si>
    <r>
      <rPr>
        <b/>
        <sz val="10"/>
        <rFont val="Arial"/>
        <family val="2"/>
      </rPr>
      <t>Förderbeitrag</t>
    </r>
    <r>
      <rPr>
        <sz val="10"/>
        <rFont val="Arial"/>
        <family val="2"/>
      </rPr>
      <t>: einmaliger Förderbeitrag für den Anschluss an das Wärmenetz. Der Betrag wird direkt an den Wärmekunden ausbezahlt. Der Betrag ist poisitiv einzutragen. Der Förderbeitrag wird in den Kapitalkosten des Wärmebezügers (Pkt.330) berücksichtigt.</t>
    </r>
  </si>
  <si>
    <r>
      <t>jährliche</t>
    </r>
    <r>
      <rPr>
        <b/>
        <sz val="10"/>
        <rFont val="Arial"/>
        <family val="2"/>
      </rPr>
      <t xml:space="preserve"> Kapitalkosten</t>
    </r>
    <r>
      <rPr>
        <sz val="10"/>
        <rFont val="Arial"/>
        <family val="2"/>
      </rPr>
      <t xml:space="preserve"> Wärmebezüger: lineare, unverzinste Abschreibung der einmaligen Anschlusspauschale (Pkt. 325) abzüglich dem Förderbeitrag für den Anschluss (Pkt. 326) über die Vertragslaufzeit (Pkt. 21Xc)</t>
    </r>
  </si>
  <si>
    <t>Wirtschaftliche Entwicklung (Diagramme)</t>
  </si>
  <si>
    <r>
      <t xml:space="preserve">Dank
</t>
    </r>
    <r>
      <rPr>
        <sz val="10"/>
        <rFont val="Arial"/>
        <family val="2"/>
      </rPr>
      <t>Die Erstellung des vorliegenden Werkzeuges erfolgte im Auftrag von Energieschweiz. Die Weiterentwicklung ermöglichte Holzenergie Schweiz und die Arbeitsgemeinschaft QM Holzheizwerke.</t>
    </r>
  </si>
  <si>
    <r>
      <t xml:space="preserve">benötigte </t>
    </r>
    <r>
      <rPr>
        <b/>
        <sz val="10"/>
        <rFont val="Arial"/>
        <family val="2"/>
      </rPr>
      <t>Eigenmittel</t>
    </r>
    <r>
      <rPr>
        <sz val="10"/>
        <rFont val="Arial"/>
        <family val="2"/>
      </rPr>
      <t xml:space="preserve"> (siehe Pkt. 155) im betreffenden Jahr zur Deckung der Nettoinvestitionen (Pkt. 544).
Die Beträge können manuell verändert werden.
</t>
    </r>
    <r>
      <rPr>
        <b/>
        <sz val="10"/>
        <rFont val="Arial"/>
        <family val="2"/>
      </rPr>
      <t>Hinweis</t>
    </r>
    <r>
      <rPr>
        <sz val="10"/>
        <rFont val="Arial"/>
        <family val="2"/>
      </rPr>
      <t xml:space="preserve">: Wenn die Summe der Eigenmittel in Pkt 551 die Summe in Pkt. 155 übersteigt, wird der </t>
    </r>
    <r>
      <rPr>
        <sz val="10"/>
        <color theme="4"/>
        <rFont val="Arial"/>
        <family val="2"/>
      </rPr>
      <t>Spaltenkopf rot</t>
    </r>
    <r>
      <rPr>
        <sz val="10"/>
        <rFont val="Arial"/>
        <family val="2"/>
      </rPr>
      <t xml:space="preserve"> eingefärbt.</t>
    </r>
  </si>
  <si>
    <r>
      <rPr>
        <b/>
        <sz val="10"/>
        <rFont val="Arial"/>
        <family val="2"/>
      </rPr>
      <t>Anschlussbeiträge</t>
    </r>
    <r>
      <rPr>
        <sz val="10"/>
        <rFont val="Arial"/>
        <family val="2"/>
      </rPr>
      <t xml:space="preserve"> der Verbraucher (Pkt. 325) werden im Jahr des Anschlusses (Pkt. 323) eingerechnet. Anschlussbeiträge dienen der Finanzierung und werden nicht als Ertrag berücksichtigt.
Die Beträge können in den Jahren geschoben werden, sofern dies im Vertrag so vorgesehen ist.
</t>
    </r>
    <r>
      <rPr>
        <b/>
        <sz val="10"/>
        <rFont val="Arial"/>
        <family val="2"/>
      </rPr>
      <t>Hinweis:</t>
    </r>
    <r>
      <rPr>
        <sz val="10"/>
        <rFont val="Arial"/>
        <family val="2"/>
      </rPr>
      <t xml:space="preserve"> Wenn die Summe der Anschlussbeiträge in Pkt 543 von der Summe in Pkt. 325 abweicht, wird der </t>
    </r>
    <r>
      <rPr>
        <sz val="10"/>
        <color theme="4"/>
        <rFont val="Arial"/>
        <family val="2"/>
      </rPr>
      <t xml:space="preserve">Spaltenkopf rot </t>
    </r>
    <r>
      <rPr>
        <sz val="10"/>
        <rFont val="Arial"/>
        <family val="2"/>
      </rPr>
      <t>eingefärbt.</t>
    </r>
  </si>
  <si>
    <r>
      <rPr>
        <b/>
        <sz val="10"/>
        <rFont val="Arial"/>
        <family val="2"/>
      </rPr>
      <t>Kredite / Darlehen</t>
    </r>
    <r>
      <rPr>
        <sz val="10"/>
        <rFont val="Arial"/>
        <family val="2"/>
      </rPr>
      <t>: Die Auszahlung von Krediten und Darlehen erfolgen ab dem Startjahr (Pkt. 160c) bis der Kredit (Pkt. 160a) ausgeschöpft ist.
Die Kreditammortisation erfolgt unter Pkt. 580 im Rahmen der Cashflow Berechnung (Pkt. 581)
Die Zinszahlungen (Pkt. 578) werden in der Aufwandsberechnung verbucht.</t>
    </r>
  </si>
  <si>
    <r>
      <rPr>
        <b/>
        <sz val="10"/>
        <rFont val="Arial"/>
        <family val="2"/>
      </rPr>
      <t>Finanzierungslücke</t>
    </r>
    <r>
      <rPr>
        <sz val="10"/>
        <rFont val="Arial"/>
        <family val="2"/>
      </rPr>
      <t xml:space="preserve"> Berechnung einer allfälligen Finanzierungslücke. Diese wird kummuliert und kann mit dem kummulierten Cashflow (Pkt. 582) in der Spalte daneben verglichen werden.</t>
    </r>
  </si>
  <si>
    <t>Anteil Eigenverbrauch für WP</t>
  </si>
  <si>
    <t>Anteil Eigenverbrauch für Hilfsenergie</t>
  </si>
  <si>
    <t>Eigenverbrauch für WP</t>
  </si>
  <si>
    <t>Eigenverbrauch für Hilfsenergie</t>
  </si>
  <si>
    <t>jährlicher Netzbezug Hilfsenergie, berechnet aus 115w, 170a, j</t>
  </si>
  <si>
    <t>jährlicher Netzbezug der Wärmepumpe, berechnet aus, 115d, u, 170 a, j</t>
  </si>
  <si>
    <t>Eigenverbrauch der Stromproduktion aus WKK für WP und Hilfsenergie, berechnet aus Pkt. 115d,o,u,v,w; 170a,i,j</t>
  </si>
  <si>
    <t>Gesamt-aufwand inkl. Kredit-amortisation</t>
  </si>
  <si>
    <t>Amortisation Kredit 1</t>
  </si>
  <si>
    <t>Amortisation Kredit 2</t>
  </si>
  <si>
    <r>
      <rPr>
        <b/>
        <sz val="10"/>
        <rFont val="Arial"/>
        <family val="2"/>
      </rPr>
      <t>Kreditamortisation</t>
    </r>
    <r>
      <rPr>
        <sz val="10"/>
        <rFont val="Arial"/>
        <family val="2"/>
      </rPr>
      <t xml:space="preserve"> Ab dem Jahr der Kreditrückzahlung (Beginn Amortisation, Pkt. 160d), wird der Kredit (Pkt. 160a) bis zum Ablauf der Laufzeit (Pkt. 160b) linear amortisiert.</t>
    </r>
  </si>
  <si>
    <r>
      <rPr>
        <b/>
        <sz val="10"/>
        <rFont val="Arial"/>
        <family val="2"/>
      </rPr>
      <t>Cashflow</t>
    </r>
    <r>
      <rPr>
        <sz val="10"/>
        <rFont val="Arial"/>
        <family val="2"/>
      </rPr>
      <t>: Berechnung der flüssigen Mittel (Nettozu- / -abfluss) aus Gesamtertrag (Pkt. 569), Gesamtaufwand vor Abschreibungen (Pkt. 579), Kreditamortisation (Pkt. 580)</t>
    </r>
  </si>
  <si>
    <t>Amortisation Kredite</t>
  </si>
  <si>
    <t>kumulierter Cashflow (Vergleich)</t>
  </si>
  <si>
    <t>Summe einmalige Anschlusskosten</t>
  </si>
  <si>
    <t>Berechnung der Summe aller Anschlussbeiträge (Summe aus E3_Verbraucher Pkt. 325)</t>
  </si>
  <si>
    <t>Anteil der Position der Gesamtinvestitionen.
Hinweis: Die Summe aller Anteile kann über 100% betragen, weil beispielsweise die Anschlussgebühren über die Jahre verzögert eingehen und somit vorfinanziert werden müssen.</t>
  </si>
  <si>
    <t>Invest</t>
  </si>
  <si>
    <t>81xa</t>
  </si>
  <si>
    <t>81xb</t>
  </si>
  <si>
    <t>81xc</t>
  </si>
  <si>
    <t>QM Holzheizwerke - Wirtschaftlichkeitsmodell - Planerfolgsrechnung</t>
  </si>
  <si>
    <t>Wärmeverkauf
(inkl. jährl. Grundpreis)</t>
  </si>
  <si>
    <t>Stromeinspeisung</t>
  </si>
  <si>
    <t>Pflanzenkohle</t>
  </si>
  <si>
    <t>Gesamtertrag</t>
  </si>
  <si>
    <t>Holzschnitzel</t>
  </si>
  <si>
    <t>Zusatzwärmeerzeuger</t>
  </si>
  <si>
    <t>Bruttoergebnis</t>
  </si>
  <si>
    <t>Betrieb/Unterhalt</t>
  </si>
  <si>
    <t>Betrieb + Administration</t>
  </si>
  <si>
    <t>übriger Finanzaufwand</t>
  </si>
  <si>
    <t>Steuern</t>
  </si>
  <si>
    <t>Reingewinn /-Verlust</t>
  </si>
  <si>
    <t>Kummulierter Reingewinn / -Verlust</t>
  </si>
  <si>
    <t>Kosten für Betrieb (Pkt. 125b; 510g)  und Administration (Pkt.125a; 510h) , Teuerung eingerechnet, die Kosten werden erst ab dem Jahr der ersten Wärmelieferung berechnet</t>
  </si>
  <si>
    <t>EBITDA</t>
  </si>
  <si>
    <t>EBIT</t>
  </si>
  <si>
    <t>Registerblatt "A2_Planerfolgsrechnung"</t>
  </si>
  <si>
    <r>
      <rPr>
        <b/>
        <sz val="10"/>
        <rFont val="Arial"/>
        <family val="2"/>
      </rPr>
      <t xml:space="preserve">Registerblatt "A8_Sensitivität"
</t>
    </r>
    <r>
      <rPr>
        <sz val="10"/>
        <rFont val="Arial"/>
        <family val="2"/>
      </rPr>
      <t>In diesem Registerblatt kann die Sensitiviät unterschiedlicher Parameter berechnet werden</t>
    </r>
  </si>
  <si>
    <r>
      <rPr>
        <b/>
        <sz val="10"/>
        <rFont val="Arial"/>
        <family val="2"/>
      </rPr>
      <t>Bruttoergebnis</t>
    </r>
    <r>
      <rPr>
        <sz val="10"/>
        <rFont val="Arial"/>
        <family val="2"/>
      </rPr>
      <t xml:space="preserve"> Berechnet aus Gesamtertrag (Pkt. 569) abzüglich Energiekosten (Pkt. 571a-572b)</t>
    </r>
  </si>
  <si>
    <r>
      <rPr>
        <b/>
        <sz val="10"/>
        <rFont val="Arial"/>
        <family val="2"/>
      </rPr>
      <t>EBITDA</t>
    </r>
    <r>
      <rPr>
        <sz val="10"/>
        <rFont val="Arial"/>
        <family val="2"/>
      </rPr>
      <t xml:space="preserve"> (Earnings Before Interest, Taxes, Deprecation and Amortization) Gewinn vor Zinsen, Steuern, Abschreibungen
Bruttoergebnis (Pkt. 710) abzüglich Kosten für Betrieb und Unterhalt (Pkt. 574a,b, 575 und 576)</t>
    </r>
  </si>
  <si>
    <r>
      <rPr>
        <b/>
        <sz val="10"/>
        <rFont val="Arial"/>
        <family val="2"/>
      </rPr>
      <t>EBIT</t>
    </r>
    <r>
      <rPr>
        <sz val="10"/>
        <rFont val="Arial"/>
        <family val="2"/>
      </rPr>
      <t xml:space="preserve"> (Earnings Before Interest and Taxes) Gewinn vor Zinsen und Steuern
EBITDA (Pkt. 711) abzüglich Abschreibungen (Pkt. 585)</t>
    </r>
  </si>
  <si>
    <r>
      <rPr>
        <b/>
        <sz val="10"/>
        <rFont val="Arial"/>
        <family val="2"/>
      </rPr>
      <t>übriger Finanzaufwand</t>
    </r>
    <r>
      <rPr>
        <sz val="10"/>
        <rFont val="Arial"/>
        <family val="2"/>
      </rPr>
      <t xml:space="preserve"> (Eingabefeld für individuelle Eingabe)</t>
    </r>
  </si>
  <si>
    <r>
      <rPr>
        <b/>
        <sz val="10"/>
        <rFont val="Arial"/>
        <family val="2"/>
      </rPr>
      <t>Steuern</t>
    </r>
    <r>
      <rPr>
        <sz val="10"/>
        <rFont val="Arial"/>
        <family val="2"/>
      </rPr>
      <t xml:space="preserve"> (Eingabefeld für individuelle Eingabe)</t>
    </r>
  </si>
  <si>
    <r>
      <rPr>
        <b/>
        <sz val="10"/>
        <rFont val="Arial"/>
        <family val="2"/>
      </rPr>
      <t>Reingewinn /-Verlust</t>
    </r>
    <r>
      <rPr>
        <sz val="10"/>
        <rFont val="Arial"/>
        <family val="2"/>
      </rPr>
      <t>: EBIT (Pkt. 712) abzüglich Zinsen (Pkt. 578), Steuern (Pkt. 713) und übriger Finanzaufwand (Pkt. 714)</t>
    </r>
  </si>
  <si>
    <t>kummulierter Reingewinn /-Verlust</t>
  </si>
  <si>
    <t>Mehr als 10 Hinweise!</t>
  </si>
  <si>
    <t>Es existieren Warnungen im Register 'E1_Projektdaten'!</t>
  </si>
  <si>
    <t>Netzverluste des Fernwärmenetzes bezogen auf die dem Netz zugeführte Wärmemenge (Q-Forderung QMH ≤10%). Bei Netzen im Wachstum ist allenfalls ein mittlerer Verlust anzugeben.</t>
  </si>
  <si>
    <r>
      <t xml:space="preserve">Anteil der </t>
    </r>
    <r>
      <rPr>
        <b/>
        <sz val="10"/>
        <rFont val="Arial"/>
        <family val="2"/>
      </rPr>
      <t>erzeugten Nutzwärme (Pkt. 170 a)</t>
    </r>
    <r>
      <rPr>
        <sz val="10"/>
        <rFont val="Arial"/>
        <family val="2"/>
      </rPr>
      <t xml:space="preserve">, die aus der </t>
    </r>
    <r>
      <rPr>
        <b/>
        <sz val="10"/>
        <rFont val="Arial"/>
        <family val="2"/>
      </rPr>
      <t xml:space="preserve">direkten Abgaskondensation </t>
    </r>
    <r>
      <rPr>
        <sz val="10"/>
        <rFont val="Arial"/>
        <family val="2"/>
      </rPr>
      <t>erzeugt wird in Prozent.</t>
    </r>
  </si>
  <si>
    <r>
      <t>Anteil der erzeugten Nutzwärme (Pkt. 170 a), die mit Holzschnitzeln erzeugt wird in Prozent</t>
    </r>
    <r>
      <rPr>
        <b/>
        <sz val="10"/>
        <rFont val="Arial"/>
        <family val="2"/>
      </rPr>
      <t xml:space="preserve">.
</t>
    </r>
    <r>
      <rPr>
        <sz val="10"/>
        <rFont val="Arial"/>
        <family val="2"/>
      </rPr>
      <t>100% steht für eine monovalente Anlage. Der Anteil der Abgaskondensation wird separat erfasst.</t>
    </r>
  </si>
  <si>
    <r>
      <t>Anteil der erzeugten Nutzwärme (Pkt. 170 a), die mit einer WKK-Anlage erzeugt wird in Prozent</t>
    </r>
    <r>
      <rPr>
        <b/>
        <sz val="10"/>
        <rFont val="Arial"/>
        <family val="2"/>
      </rPr>
      <t>.</t>
    </r>
  </si>
  <si>
    <t>Anteil der erzeugten Nutzwärme (Pkt. 170 a), die mit einer Wärmepumpe erzeugt wird in Prozent.</t>
  </si>
  <si>
    <r>
      <t>Anteil der erzeugten Nutzwärme (Pkt. 170 a), die mit einem Zusatzwärmeerzeuger erzeugt wird in Prozent</t>
    </r>
    <r>
      <rPr>
        <b/>
        <sz val="10"/>
        <rFont val="Arial"/>
        <family val="2"/>
      </rPr>
      <t>.
Der Zusatzwärmeerzeuger ist technologieoffen</t>
    </r>
  </si>
  <si>
    <t>Anteil der erzeugten Nutzwärme (Pkt. 170 a), die mit Abwärme erzeugt wird in Prozent.</t>
  </si>
  <si>
    <t>Anteil der erzeugten Nutzwärme (Pkt. 170 a), die fossil erzeugt wird in Prozent. Wird aus den Anteilen 115a - 115f berechnet</t>
  </si>
  <si>
    <r>
      <rPr>
        <b/>
        <sz val="10"/>
        <rFont val="Arial"/>
        <family val="2"/>
      </rPr>
      <t xml:space="preserve">Anteil </t>
    </r>
    <r>
      <rPr>
        <sz val="10"/>
        <rFont val="Arial"/>
        <family val="2"/>
      </rPr>
      <t>des Strombedarfes der Wärmepumpe, welcher</t>
    </r>
    <r>
      <rPr>
        <b/>
        <sz val="10"/>
        <rFont val="Arial"/>
        <family val="2"/>
      </rPr>
      <t xml:space="preserve"> aus der Stromproduktion der WKK </t>
    </r>
    <r>
      <rPr>
        <sz val="10"/>
        <rFont val="Arial"/>
        <family val="2"/>
      </rPr>
      <t>gedeckt wird. Es ist der Anteil des Strombedarfes der Wärmepumpe und nicht der Anteil der Produktion der WKK einzutragen.</t>
    </r>
  </si>
  <si>
    <r>
      <rPr>
        <b/>
        <sz val="10"/>
        <rFont val="Arial"/>
        <family val="2"/>
      </rPr>
      <t>Anteil</t>
    </r>
    <r>
      <rPr>
        <sz val="10"/>
        <rFont val="Arial"/>
        <family val="2"/>
      </rPr>
      <t xml:space="preserve"> des Strombedarfes der Hilfsenergie, welcher </t>
    </r>
    <r>
      <rPr>
        <b/>
        <sz val="10"/>
        <rFont val="Arial"/>
        <family val="2"/>
      </rPr>
      <t>aus der Stromproduktion der WKK</t>
    </r>
    <r>
      <rPr>
        <sz val="10"/>
        <rFont val="Arial"/>
        <family val="2"/>
      </rPr>
      <t xml:space="preserve"> gedeckt wird. Es ist der Anteil des Strombedarfes der Hilfsenergie für alle Anlagenteile und nicht der Anteil der Produktion der WKK einzutragen.</t>
    </r>
  </si>
  <si>
    <t>Einkaufspreis für den Brennstoff Biomasse (Holzlschnitzel) in CHF/MWh Nutzenergie (gemessen am Wärmezähler des Holzkessels)</t>
  </si>
  <si>
    <t>Strompreis in CHF/kWh (inkl. Anteil Anschlusskosten etc.) (Empfehlung wenn nicht bekannt: 30 Rp/kWhel)</t>
  </si>
  <si>
    <t>t/a</t>
  </si>
  <si>
    <t>CHF/t</t>
  </si>
  <si>
    <t>120j:Der Abwärmepreis ist sehr tief</t>
  </si>
  <si>
    <t>120j: Der Abwärmepreis ist sehr hoch</t>
  </si>
  <si>
    <t>120m:Der Einspeisetarif ist sehr niedrig</t>
  </si>
  <si>
    <t>120m: Der Einspeisetarif ist sehr hoch</t>
  </si>
  <si>
    <t>120m: Es wurde kein Stromeinspeisepreis eingegeben</t>
  </si>
  <si>
    <t>120n: Der Pflanzenkohlepreis ist sehr tief</t>
  </si>
  <si>
    <t>120n: Der Pflanzenkohlepreis ist sehr hoch</t>
  </si>
  <si>
    <t>120n: Es wurde kein Pflanzenkohlepreis eingegeben</t>
  </si>
  <si>
    <t>115q: Der Jahresnutzungsgrad des fossilen Kessels ist sehr tief</t>
  </si>
  <si>
    <t>115q: Der Jahresnutzungsgrad des fossilen Kessels ist sehr hoch</t>
  </si>
  <si>
    <t>Wärmebedarf inkl. Netzverluste</t>
  </si>
  <si>
    <t>Maximal verkaufte Wärmemenge in MWh/a. Summe des Wärmeverbrauches (Pkt. 320) aller Verbraucher in Register "E3_Verbraucher"</t>
  </si>
  <si>
    <t>Jährliche Abnahme des Wärmebedarfes. Durchschnittliche jährliche Abnahme des Wärmebedarfes  durch Effizienzmassnahmen (z.B. verbesserte Gebäudehüllen) der Wärmebezüger ab der Inbetriebnahme. Dieser Wert wird im Gesamtwärmebedarf (Pkt. 532 im Register "B1_Berechnungen") berücksichtigt.</t>
  </si>
  <si>
    <r>
      <rPr>
        <b/>
        <sz val="10"/>
        <rFont val="Arial"/>
        <family val="2"/>
      </rPr>
      <t>Eingaben Verbraucher</t>
    </r>
    <r>
      <rPr>
        <sz val="10"/>
        <rFont val="Arial"/>
        <family val="2"/>
      </rPr>
      <t xml:space="preserve">
In dieser Tabelle können für jeden Wärmekunden die entsprechenden Daten eingetragen werden. Diejenigen Angaben, die mit den Daten der Excel-Situationserfassung von QM Holzheizwerke korrespondieren (Pkt. 311 - 314)  können aus dieser Tabelle übernommen werden. Für die Übernahme der Daten werden die entsprechenden Zeilen kopiert und mit "Werte Einfügen" in die entsprechenden Zellen des Wirtschaftlichkeitsmodells eingefügt.
Hinweis: Um die Dateneingabe zu vereinfachen können auch die Summenwerte der jährlichen Ausbauetappen erfasst werden.</t>
    </r>
  </si>
  <si>
    <r>
      <rPr>
        <b/>
        <sz val="10"/>
        <rFont val="Arial"/>
        <family val="2"/>
      </rPr>
      <t>Auslastung</t>
    </r>
    <r>
      <rPr>
        <sz val="10"/>
        <rFont val="Arial"/>
        <family val="2"/>
      </rPr>
      <t xml:space="preserve"> des Heizwerks bzw. Wärmenetzes bezogen auf den mittleren Wärmebezug (Pkt. 170a)</t>
    </r>
  </si>
  <si>
    <t>Aufteilung der Investitionen auf max. fünf Etappen in % der Gesamtinvestition (Pkt. 145z)
Hinweis: Die Unterhaltskosten (Pkt. 142) werden nach dem selben Verteiler abgestuft. Bei Abweichungen zwischen den effektiven Unterhaltskosten und den in Pkt. 574b (Register B1_Berchnungen) ausgewiesenen Aufwendungen, sind die Prozentsätze in Pkt. 142 entsprechend anzupassen.</t>
  </si>
  <si>
    <t>Betriebskosten: siehe Pkt. 125b</t>
  </si>
  <si>
    <t>Personalkosten: siehe Pkt. 125a</t>
  </si>
  <si>
    <t>Personalkosten</t>
  </si>
  <si>
    <t>Jahresnutzungsgrad des fossilen Spitzenlastkessels.
Wird zur Spitzenlastdeckung ein Erdgaskessel eingebaut und unter Punkt 120e der Preis in MWho eingegeben, ist zusätzlich die Umrechnung von Ho zu Hu (0.9) zu berücksichtigen.</t>
  </si>
  <si>
    <t>Hauszentrale</t>
  </si>
  <si>
    <t>Übergabestation (Wärmemessung und Regelarmaturen)</t>
  </si>
  <si>
    <r>
      <t xml:space="preserve">Kosten für die </t>
    </r>
    <r>
      <rPr>
        <b/>
        <sz val="10"/>
        <rFont val="Arial"/>
        <family val="2"/>
      </rPr>
      <t>Hauszentralen</t>
    </r>
    <r>
      <rPr>
        <sz val="10"/>
        <rFont val="Arial"/>
        <family val="2"/>
      </rPr>
      <t xml:space="preserve"> bei den Verbrauchern
Anteil Kunden, wird üblicherweise mit den einmaligen Anschlusskosten (Pkt. 325) an den Wärmeverbund zurückbezahlt. In dieser Position fallen üblicherweise keine Ersatzinvestitionen für den Wärmeverbund an.
Diese Position wird nicht in die Restwertbetrachtung eingerechnet!</t>
    </r>
  </si>
  <si>
    <r>
      <t xml:space="preserve">Kosten für die </t>
    </r>
    <r>
      <rPr>
        <b/>
        <sz val="10"/>
        <rFont val="Arial"/>
        <family val="2"/>
      </rPr>
      <t>Übergabestation</t>
    </r>
    <r>
      <rPr>
        <sz val="10"/>
        <rFont val="Arial"/>
        <family val="2"/>
      </rPr>
      <t xml:space="preserve"> (Wärmezähler und die Regelung) bei den Verbrauchern (im Besitz des Wärmeverbundes), inklusive der Wärmezähler der Erzeuger. Bei dieser Position fallen üblicherweise nach ca. 15 Jahren Ersatzinvestitionen an.</t>
    </r>
  </si>
  <si>
    <t>Kosten für den Bau von Erdsonden oder eine Grundwassernutzung (auch für die Nutzung von Oberflächengewässern oder Geothermie)</t>
  </si>
  <si>
    <t>QMH Beispielprojekt 3</t>
  </si>
  <si>
    <t>Wärmeverbund Holz-WKK</t>
  </si>
  <si>
    <t>Datum, Erfasser:in</t>
  </si>
  <si>
    <t>bis 50 kW</t>
  </si>
  <si>
    <t>51-100</t>
  </si>
  <si>
    <t>101-500</t>
  </si>
  <si>
    <t>über 500</t>
  </si>
  <si>
    <t>Hotel</t>
  </si>
  <si>
    <t>Schulhaus</t>
  </si>
  <si>
    <t>übrige</t>
  </si>
  <si>
    <t>Whg</t>
  </si>
  <si>
    <t>20 HA &lt; 50 kW</t>
  </si>
  <si>
    <t>30 HA &lt; 50 kW</t>
  </si>
  <si>
    <t>15 HA &lt; 50 kW</t>
  </si>
  <si>
    <t>T 3: 101-500</t>
  </si>
  <si>
    <t>T 2: 51-100</t>
  </si>
  <si>
    <t>T 1: bis 50 kW</t>
  </si>
  <si>
    <t>Version: 6.1 (Dezember 2025)</t>
  </si>
  <si>
    <t>510l</t>
  </si>
  <si>
    <t>Brennstoff Biomasse: Pkt. 175a</t>
  </si>
  <si>
    <t>Energieksoten WKK: Pkt 175 b</t>
  </si>
  <si>
    <t>Energiekosten WKK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</si>
</sst>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amily val="2"/>
    </font>
    <font>
      <b/>
      <sz val="10"/>
      <name val="Arial"/>
      <family val="2"/>
    </font>
    <font>
      <b/>
      <sz val="8"/>
      <color indexed="81"/>
      <name val="Tahoma"/>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b/>
      <sz val="10"/>
      <color theme="0"/>
      <name val="Arial"/>
      <family val="2"/>
    </font>
    <font>
      <u/>
      <sz val="10"/>
      <name val="Arial"/>
      <family val="2"/>
    </font>
    <font>
      <sz val="10"/>
      <color theme="4"/>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9">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4" fillId="0" borderId="0" applyFont="0" applyFill="0" applyBorder="0" applyAlignment="0" applyProtection="0"/>
    <xf numFmtId="0" fontId="13" fillId="0" borderId="0" applyNumberFormat="0" applyFill="0" applyBorder="0" applyAlignment="0" applyProtection="0">
      <alignment vertical="top"/>
      <protection locked="0"/>
    </xf>
    <xf numFmtId="9" fontId="9" fillId="0" borderId="0" applyFont="0" applyFill="0" applyBorder="0" applyAlignment="0" applyProtection="0"/>
    <xf numFmtId="0" fontId="4" fillId="0" borderId="0"/>
    <xf numFmtId="0" fontId="4" fillId="0" borderId="0"/>
    <xf numFmtId="0" fontId="11" fillId="0" borderId="0"/>
    <xf numFmtId="41" fontId="12" fillId="0" borderId="0" applyFont="0" applyFill="0" applyBorder="0" applyAlignment="0" applyProtection="0"/>
    <xf numFmtId="41" fontId="12" fillId="0" borderId="0" applyFont="0" applyFill="0" applyBorder="0" applyAlignment="0" applyProtection="0"/>
  </cellStyleXfs>
  <cellXfs count="360">
    <xf numFmtId="0" fontId="0" fillId="0" borderId="0" xfId="0"/>
    <xf numFmtId="0" fontId="4" fillId="0" borderId="0" xfId="4"/>
    <xf numFmtId="0" fontId="7" fillId="0" borderId="0" xfId="4" applyFont="1"/>
    <xf numFmtId="0" fontId="8" fillId="0" borderId="0" xfId="2" applyFont="1" applyAlignment="1" applyProtection="1"/>
    <xf numFmtId="0" fontId="4" fillId="0" borderId="0" xfId="4" applyAlignment="1">
      <alignment horizontal="center"/>
    </xf>
    <xf numFmtId="0" fontId="5" fillId="0" borderId="0" xfId="4" applyFont="1"/>
    <xf numFmtId="3" fontId="4" fillId="0" borderId="0" xfId="4" applyNumberFormat="1"/>
    <xf numFmtId="4" fontId="4" fillId="0" borderId="0" xfId="4" applyNumberFormat="1"/>
    <xf numFmtId="2" fontId="5" fillId="0" borderId="0" xfId="4" applyNumberFormat="1" applyFont="1"/>
    <xf numFmtId="0" fontId="14" fillId="0" borderId="0" xfId="4" applyFont="1"/>
    <xf numFmtId="0" fontId="4" fillId="0" borderId="2" xfId="5" applyBorder="1" applyAlignment="1">
      <alignment vertical="top" wrapText="1"/>
    </xf>
    <xf numFmtId="0" fontId="3" fillId="0" borderId="0" xfId="0" applyFont="1"/>
    <xf numFmtId="0" fontId="3" fillId="6" borderId="0" xfId="0" applyFont="1" applyFill="1"/>
    <xf numFmtId="0" fontId="16" fillId="4" borderId="0" xfId="0" applyFont="1" applyFill="1" applyAlignment="1">
      <alignment horizontal="left" vertical="top"/>
    </xf>
    <xf numFmtId="0" fontId="16" fillId="4" borderId="0" xfId="0" applyFont="1" applyFill="1" applyAlignment="1">
      <alignment vertical="top"/>
    </xf>
    <xf numFmtId="0" fontId="19" fillId="5" borderId="0" xfId="2" applyNumberFormat="1" applyFont="1" applyFill="1" applyBorder="1" applyAlignment="1" applyProtection="1">
      <alignment horizontal="center" vertical="top"/>
    </xf>
    <xf numFmtId="0" fontId="16" fillId="5" borderId="0" xfId="0" applyFont="1" applyFill="1" applyAlignment="1">
      <alignment vertical="top"/>
    </xf>
    <xf numFmtId="0" fontId="16" fillId="0" borderId="0" xfId="0" applyFont="1" applyAlignment="1">
      <alignment horizontal="center" vertical="top"/>
    </xf>
    <xf numFmtId="0" fontId="3" fillId="6" borderId="35" xfId="0" applyFont="1" applyFill="1" applyBorder="1" applyAlignment="1" applyProtection="1">
      <alignment vertical="top"/>
      <protection locked="0"/>
    </xf>
    <xf numFmtId="3" fontId="3" fillId="6" borderId="35" xfId="0" applyNumberFormat="1" applyFont="1" applyFill="1" applyBorder="1" applyAlignment="1" applyProtection="1">
      <alignment vertical="top"/>
      <protection locked="0"/>
    </xf>
    <xf numFmtId="0" fontId="16" fillId="5" borderId="0" xfId="0" applyFont="1" applyFill="1" applyAlignment="1">
      <alignment vertical="top" wrapText="1"/>
    </xf>
    <xf numFmtId="0" fontId="3" fillId="0" borderId="0" xfId="0" applyFont="1" applyAlignment="1">
      <alignment vertical="top" wrapText="1"/>
    </xf>
    <xf numFmtId="0" fontId="3" fillId="0" borderId="35" xfId="0" applyFont="1" applyBorder="1" applyAlignment="1">
      <alignment vertical="top"/>
    </xf>
    <xf numFmtId="0" fontId="3" fillId="0" borderId="35" xfId="0" applyFont="1" applyBorder="1" applyAlignment="1">
      <alignment vertical="top" wrapText="1"/>
    </xf>
    <xf numFmtId="1" fontId="16" fillId="4" borderId="0" xfId="0" applyNumberFormat="1" applyFont="1" applyFill="1" applyAlignment="1">
      <alignment vertical="top"/>
    </xf>
    <xf numFmtId="0" fontId="5" fillId="0" borderId="0" xfId="0" applyFont="1" applyAlignment="1">
      <alignment vertical="top"/>
    </xf>
    <xf numFmtId="0" fontId="16" fillId="0" borderId="0" xfId="0" applyFont="1" applyAlignment="1">
      <alignment vertical="top"/>
    </xf>
    <xf numFmtId="0" fontId="3" fillId="0" borderId="0" xfId="0" applyFont="1" applyAlignment="1">
      <alignment vertical="top"/>
    </xf>
    <xf numFmtId="49" fontId="16" fillId="0" borderId="0" xfId="0" applyNumberFormat="1" applyFont="1" applyAlignment="1">
      <alignment vertical="top"/>
    </xf>
    <xf numFmtId="3" fontId="3" fillId="7" borderId="35" xfId="0" applyNumberFormat="1" applyFont="1" applyFill="1" applyBorder="1" applyAlignment="1" applyProtection="1">
      <alignment vertical="top"/>
      <protection hidden="1"/>
    </xf>
    <xf numFmtId="49" fontId="3" fillId="0" borderId="0" xfId="0" applyNumberFormat="1" applyFont="1" applyAlignment="1">
      <alignment horizontal="left" vertical="top"/>
    </xf>
    <xf numFmtId="3" fontId="3" fillId="0" borderId="36" xfId="0" applyNumberFormat="1" applyFont="1" applyBorder="1" applyAlignment="1">
      <alignment vertical="top"/>
    </xf>
    <xf numFmtId="49" fontId="3" fillId="0" borderId="37" xfId="0" applyNumberFormat="1" applyFont="1" applyBorder="1" applyAlignment="1">
      <alignment horizontal="left" vertical="top"/>
    </xf>
    <xf numFmtId="0" fontId="3" fillId="0" borderId="37" xfId="0" applyFont="1" applyBorder="1" applyAlignment="1">
      <alignment vertical="top"/>
    </xf>
    <xf numFmtId="49" fontId="16" fillId="0" borderId="0" xfId="0" applyNumberFormat="1" applyFont="1" applyAlignment="1">
      <alignment horizontal="left" vertical="top"/>
    </xf>
    <xf numFmtId="3" fontId="3" fillId="0" borderId="0" xfId="0" applyNumberFormat="1" applyFont="1" applyAlignment="1">
      <alignment vertical="top"/>
    </xf>
    <xf numFmtId="0" fontId="16" fillId="0" borderId="0" xfId="0" applyFont="1"/>
    <xf numFmtId="3" fontId="3" fillId="0" borderId="35" xfId="0" applyNumberFormat="1" applyFont="1" applyBorder="1"/>
    <xf numFmtId="0" fontId="8" fillId="0" borderId="0" xfId="2" applyFont="1" applyFill="1" applyAlignment="1" applyProtection="1"/>
    <xf numFmtId="0" fontId="20" fillId="0" borderId="0" xfId="0" applyFont="1" applyAlignment="1">
      <alignment horizontal="right"/>
    </xf>
    <xf numFmtId="1" fontId="5" fillId="0" borderId="0" xfId="4" applyNumberFormat="1" applyFont="1"/>
    <xf numFmtId="0" fontId="16" fillId="0" borderId="0" xfId="0" applyFont="1" applyAlignment="1">
      <alignment horizontal="right"/>
    </xf>
    <xf numFmtId="0" fontId="4" fillId="2" borderId="0" xfId="4" applyFill="1"/>
    <xf numFmtId="0" fontId="21" fillId="0" borderId="0" xfId="0" applyFont="1" applyAlignment="1">
      <alignment horizontal="right"/>
    </xf>
    <xf numFmtId="9" fontId="4" fillId="0" borderId="0" xfId="3" applyFont="1" applyFill="1" applyBorder="1" applyAlignment="1" applyProtection="1"/>
    <xf numFmtId="0" fontId="4" fillId="0" borderId="0" xfId="4" applyAlignment="1">
      <alignment horizontal="right"/>
    </xf>
    <xf numFmtId="3" fontId="3" fillId="0" borderId="0" xfId="0" applyNumberFormat="1" applyFont="1"/>
    <xf numFmtId="172" fontId="4" fillId="0" borderId="0" xfId="4" applyNumberFormat="1"/>
    <xf numFmtId="172" fontId="4" fillId="0" borderId="0" xfId="3" applyNumberFormat="1" applyFont="1" applyFill="1" applyProtection="1"/>
    <xf numFmtId="1" fontId="4" fillId="0" borderId="0" xfId="4" applyNumberFormat="1"/>
    <xf numFmtId="0" fontId="4" fillId="0" borderId="0" xfId="0" applyFont="1"/>
    <xf numFmtId="0" fontId="4" fillId="0" borderId="0" xfId="4" applyAlignment="1">
      <alignment vertical="top"/>
    </xf>
    <xf numFmtId="0" fontId="5" fillId="0" borderId="0" xfId="2" applyFont="1" applyAlignment="1" applyProtection="1"/>
    <xf numFmtId="0" fontId="5" fillId="0" borderId="0" xfId="0" applyFont="1"/>
    <xf numFmtId="1" fontId="16" fillId="0" borderId="0" xfId="0" applyNumberFormat="1" applyFont="1" applyAlignment="1">
      <alignment horizontal="right"/>
    </xf>
    <xf numFmtId="172" fontId="4" fillId="0" borderId="0" xfId="3" applyNumberFormat="1" applyFont="1" applyFill="1" applyBorder="1" applyAlignment="1" applyProtection="1"/>
    <xf numFmtId="3" fontId="5" fillId="0" borderId="0" xfId="4" applyNumberFormat="1" applyFont="1"/>
    <xf numFmtId="3" fontId="16" fillId="0" borderId="0" xfId="0" applyNumberFormat="1" applyFont="1"/>
    <xf numFmtId="0" fontId="3" fillId="0" borderId="0" xfId="0" applyFont="1" applyAlignment="1">
      <alignment horizontal="right"/>
    </xf>
    <xf numFmtId="0" fontId="3" fillId="0" borderId="0" xfId="0" applyFont="1" applyAlignment="1">
      <alignment horizontal="left"/>
    </xf>
    <xf numFmtId="1" fontId="5" fillId="3" borderId="0" xfId="4" applyNumberFormat="1" applyFont="1" applyFill="1" applyProtection="1">
      <protection locked="0"/>
    </xf>
    <xf numFmtId="1" fontId="4" fillId="0" borderId="0" xfId="4" applyNumberFormat="1" applyAlignment="1">
      <alignment horizontal="right"/>
    </xf>
    <xf numFmtId="172" fontId="4" fillId="0" borderId="0" xfId="3" applyNumberFormat="1" applyFont="1" applyFill="1" applyProtection="1">
      <protection locked="0"/>
    </xf>
    <xf numFmtId="0" fontId="5" fillId="0" borderId="0" xfId="4" applyFont="1" applyAlignment="1">
      <alignment horizontal="right"/>
    </xf>
    <xf numFmtId="0" fontId="22" fillId="0" borderId="0" xfId="4" applyFont="1"/>
    <xf numFmtId="0" fontId="5" fillId="0" borderId="0" xfId="4" applyFont="1" applyAlignment="1">
      <alignment horizontal="left"/>
    </xf>
    <xf numFmtId="0" fontId="4" fillId="0" borderId="0" xfId="6" applyFont="1"/>
    <xf numFmtId="10" fontId="5" fillId="0" borderId="0" xfId="3" applyNumberFormat="1" applyFont="1" applyBorder="1" applyProtection="1"/>
    <xf numFmtId="10" fontId="4" fillId="0" borderId="0" xfId="3" applyNumberFormat="1" applyFont="1" applyFill="1" applyBorder="1" applyProtection="1"/>
    <xf numFmtId="10" fontId="4" fillId="0" borderId="0" xfId="3" applyNumberFormat="1" applyFont="1" applyBorder="1" applyProtection="1"/>
    <xf numFmtId="3" fontId="4" fillId="0" borderId="0" xfId="4" applyNumberFormat="1" applyAlignment="1">
      <alignment shrinkToFit="1"/>
    </xf>
    <xf numFmtId="10" fontId="4" fillId="0" borderId="0" xfId="3" applyNumberFormat="1" applyFont="1" applyProtection="1"/>
    <xf numFmtId="167" fontId="4" fillId="0" borderId="0" xfId="4" applyNumberFormat="1"/>
    <xf numFmtId="173" fontId="4" fillId="0" borderId="0" xfId="4" applyNumberFormat="1"/>
    <xf numFmtId="168" fontId="4" fillId="0" borderId="0" xfId="1" applyNumberFormat="1" applyFont="1" applyAlignment="1" applyProtection="1"/>
    <xf numFmtId="0" fontId="4" fillId="0" borderId="0" xfId="4" applyAlignment="1">
      <alignment horizontal="left"/>
    </xf>
    <xf numFmtId="169" fontId="4" fillId="0" borderId="0" xfId="1" applyNumberFormat="1" applyFont="1" applyAlignment="1" applyProtection="1"/>
    <xf numFmtId="169" fontId="4" fillId="0" borderId="0" xfId="1" applyNumberFormat="1" applyFont="1" applyAlignment="1" applyProtection="1">
      <alignment horizontal="right"/>
    </xf>
    <xf numFmtId="0" fontId="5" fillId="0" borderId="44" xfId="4" applyFont="1" applyBorder="1"/>
    <xf numFmtId="0" fontId="5" fillId="0" borderId="43" xfId="4" applyFont="1" applyBorder="1"/>
    <xf numFmtId="0" fontId="4" fillId="0" borderId="43" xfId="4" applyBorder="1"/>
    <xf numFmtId="0" fontId="4" fillId="0" borderId="11" xfId="4" applyBorder="1" applyAlignment="1">
      <alignment vertical="center"/>
    </xf>
    <xf numFmtId="0" fontId="4" fillId="0" borderId="21" xfId="4" applyBorder="1" applyAlignment="1">
      <alignment vertical="center" wrapText="1"/>
    </xf>
    <xf numFmtId="0" fontId="4" fillId="0" borderId="1" xfId="4" applyBorder="1" applyAlignment="1">
      <alignment vertical="center" wrapText="1"/>
    </xf>
    <xf numFmtId="0" fontId="4" fillId="0" borderId="11" xfId="4" applyBorder="1" applyAlignment="1">
      <alignment vertical="center" wrapText="1"/>
    </xf>
    <xf numFmtId="0" fontId="4" fillId="0" borderId="13" xfId="4" applyBorder="1" applyAlignment="1">
      <alignment vertical="center" wrapText="1"/>
    </xf>
    <xf numFmtId="0" fontId="5" fillId="0" borderId="1" xfId="4" applyFont="1" applyBorder="1" applyAlignment="1">
      <alignment vertical="center" wrapText="1"/>
    </xf>
    <xf numFmtId="0" fontId="4" fillId="0" borderId="29" xfId="4" applyBorder="1" applyAlignment="1">
      <alignment vertical="center" wrapText="1"/>
    </xf>
    <xf numFmtId="0" fontId="4" fillId="0" borderId="0" xfId="4" applyAlignment="1">
      <alignment horizontal="center" vertical="center"/>
    </xf>
    <xf numFmtId="0" fontId="4" fillId="0" borderId="12" xfId="4" applyBorder="1" applyAlignment="1">
      <alignment horizontal="center"/>
    </xf>
    <xf numFmtId="0" fontId="4" fillId="0" borderId="22" xfId="4" applyBorder="1" applyAlignment="1">
      <alignment horizontal="center"/>
    </xf>
    <xf numFmtId="0" fontId="4" fillId="0" borderId="2" xfId="4" applyBorder="1" applyAlignment="1">
      <alignment horizontal="center"/>
    </xf>
    <xf numFmtId="0" fontId="4" fillId="0" borderId="14" xfId="4" applyBorder="1" applyAlignment="1">
      <alignment horizontal="center"/>
    </xf>
    <xf numFmtId="0" fontId="4" fillId="0" borderId="31" xfId="4" applyBorder="1" applyAlignment="1">
      <alignment horizontal="center"/>
    </xf>
    <xf numFmtId="1" fontId="4" fillId="0" borderId="12" xfId="4" applyNumberFormat="1" applyBorder="1" applyAlignment="1">
      <alignment shrinkToFit="1"/>
    </xf>
    <xf numFmtId="3" fontId="4" fillId="0" borderId="22" xfId="4" applyNumberFormat="1" applyBorder="1" applyAlignment="1">
      <alignment shrinkToFit="1"/>
    </xf>
    <xf numFmtId="2" fontId="4" fillId="0" borderId="2" xfId="4" applyNumberFormat="1" applyBorder="1" applyAlignment="1">
      <alignment shrinkToFit="1"/>
    </xf>
    <xf numFmtId="3" fontId="4" fillId="0" borderId="12" xfId="4" applyNumberFormat="1" applyBorder="1" applyAlignment="1">
      <alignment shrinkToFit="1"/>
    </xf>
    <xf numFmtId="3" fontId="4" fillId="0" borderId="14" xfId="4" applyNumberFormat="1" applyBorder="1" applyAlignment="1">
      <alignment shrinkToFit="1"/>
    </xf>
    <xf numFmtId="3" fontId="4" fillId="3" borderId="14" xfId="4" applyNumberFormat="1" applyFill="1" applyBorder="1" applyAlignment="1" applyProtection="1">
      <alignment shrinkToFit="1"/>
      <protection locked="0"/>
    </xf>
    <xf numFmtId="3" fontId="4" fillId="2" borderId="14" xfId="4" applyNumberFormat="1" applyFill="1" applyBorder="1" applyAlignment="1" applyProtection="1">
      <alignment shrinkToFit="1"/>
      <protection locked="0"/>
    </xf>
    <xf numFmtId="3" fontId="5" fillId="0" borderId="2" xfId="4" applyNumberFormat="1" applyFont="1" applyBorder="1" applyAlignment="1">
      <alignment shrinkToFit="1"/>
    </xf>
    <xf numFmtId="3" fontId="4" fillId="3" borderId="31" xfId="4" applyNumberFormat="1" applyFill="1" applyBorder="1" applyAlignment="1" applyProtection="1">
      <alignment shrinkToFit="1"/>
      <protection locked="0"/>
    </xf>
    <xf numFmtId="3" fontId="4" fillId="0" borderId="42" xfId="4" applyNumberFormat="1" applyBorder="1" applyAlignment="1">
      <alignment shrinkToFit="1"/>
    </xf>
    <xf numFmtId="3" fontId="4" fillId="0" borderId="2" xfId="4" applyNumberFormat="1" applyBorder="1" applyAlignment="1">
      <alignment vertical="top" shrinkToFit="1"/>
    </xf>
    <xf numFmtId="3" fontId="4" fillId="0" borderId="14" xfId="4" applyNumberFormat="1" applyBorder="1"/>
    <xf numFmtId="3" fontId="18" fillId="0" borderId="0" xfId="7" applyNumberFormat="1" applyFont="1" applyProtection="1"/>
    <xf numFmtId="1" fontId="4" fillId="0" borderId="15" xfId="4" applyNumberFormat="1" applyBorder="1" applyAlignment="1">
      <alignment shrinkToFit="1"/>
    </xf>
    <xf numFmtId="3" fontId="4" fillId="0" borderId="16" xfId="4" applyNumberFormat="1" applyBorder="1" applyAlignment="1">
      <alignment shrinkToFit="1"/>
    </xf>
    <xf numFmtId="2" fontId="4" fillId="0" borderId="17" xfId="4" applyNumberFormat="1" applyBorder="1" applyAlignment="1">
      <alignment shrinkToFit="1"/>
    </xf>
    <xf numFmtId="3" fontId="4" fillId="0" borderId="15" xfId="4" applyNumberFormat="1" applyBorder="1" applyAlignment="1">
      <alignment shrinkToFit="1"/>
    </xf>
    <xf numFmtId="3" fontId="4" fillId="3" borderId="16" xfId="4" applyNumberFormat="1" applyFill="1" applyBorder="1" applyAlignment="1" applyProtection="1">
      <alignment shrinkToFit="1"/>
      <protection locked="0"/>
    </xf>
    <xf numFmtId="3" fontId="4" fillId="2" borderId="16" xfId="4" applyNumberFormat="1" applyFill="1" applyBorder="1" applyAlignment="1" applyProtection="1">
      <alignment shrinkToFit="1"/>
      <protection locked="0"/>
    </xf>
    <xf numFmtId="3" fontId="5" fillId="0" borderId="17" xfId="4" applyNumberFormat="1" applyFont="1" applyBorder="1" applyAlignment="1">
      <alignment shrinkToFit="1"/>
    </xf>
    <xf numFmtId="3" fontId="4" fillId="3" borderId="32" xfId="4" applyNumberFormat="1" applyFill="1" applyBorder="1" applyAlignment="1" applyProtection="1">
      <alignment shrinkToFit="1"/>
      <protection locked="0"/>
    </xf>
    <xf numFmtId="0" fontId="3" fillId="0" borderId="0" xfId="6" applyFont="1" applyAlignment="1">
      <alignment vertical="center"/>
    </xf>
    <xf numFmtId="0" fontId="5" fillId="0" borderId="0" xfId="6" applyFont="1" applyAlignment="1">
      <alignment vertical="center"/>
    </xf>
    <xf numFmtId="0" fontId="4" fillId="8" borderId="0" xfId="4" applyFill="1"/>
    <xf numFmtId="0" fontId="4" fillId="0" borderId="0" xfId="6" applyFont="1" applyAlignment="1">
      <alignment vertical="center"/>
    </xf>
    <xf numFmtId="0" fontId="3" fillId="0" borderId="24" xfId="6" applyFont="1" applyBorder="1" applyAlignment="1">
      <alignment vertical="center"/>
    </xf>
    <xf numFmtId="0" fontId="3" fillId="0" borderId="25" xfId="6" applyFont="1" applyBorder="1" applyAlignment="1">
      <alignment vertical="center"/>
    </xf>
    <xf numFmtId="0" fontId="3" fillId="8" borderId="25" xfId="6" applyFont="1" applyFill="1" applyBorder="1" applyAlignment="1" applyProtection="1">
      <alignment horizontal="center" vertical="center"/>
      <protection locked="0"/>
    </xf>
    <xf numFmtId="0" fontId="3" fillId="0" borderId="0" xfId="0" applyFont="1" applyAlignment="1">
      <alignment vertical="center"/>
    </xf>
    <xf numFmtId="0" fontId="3" fillId="0" borderId="26" xfId="6" applyFont="1" applyBorder="1" applyAlignment="1">
      <alignment vertical="center"/>
    </xf>
    <xf numFmtId="0" fontId="4" fillId="8" borderId="25" xfId="6" applyFont="1" applyFill="1" applyBorder="1" applyAlignment="1" applyProtection="1">
      <alignment horizontal="center" vertical="center"/>
      <protection locked="0"/>
    </xf>
    <xf numFmtId="0" fontId="3" fillId="0" borderId="27" xfId="6" applyFont="1" applyBorder="1" applyAlignment="1">
      <alignment vertical="center"/>
    </xf>
    <xf numFmtId="0" fontId="3" fillId="8" borderId="25" xfId="6" applyFont="1" applyFill="1" applyBorder="1" applyAlignment="1" applyProtection="1">
      <alignment vertical="center"/>
      <protection locked="0"/>
    </xf>
    <xf numFmtId="0" fontId="4" fillId="8" borderId="25" xfId="6" applyFont="1" applyFill="1" applyBorder="1" applyAlignment="1" applyProtection="1">
      <alignment vertical="center"/>
      <protection locked="0"/>
    </xf>
    <xf numFmtId="41" fontId="3" fillId="2" borderId="25" xfId="7" applyFont="1" applyFill="1" applyBorder="1" applyAlignment="1" applyProtection="1">
      <alignment vertical="center"/>
      <protection locked="0"/>
    </xf>
    <xf numFmtId="9" fontId="3" fillId="2" borderId="27" xfId="3" applyFont="1" applyFill="1" applyBorder="1" applyAlignment="1" applyProtection="1">
      <alignment vertical="center"/>
      <protection locked="0"/>
    </xf>
    <xf numFmtId="9" fontId="3" fillId="0" borderId="0" xfId="3" applyFont="1" applyAlignment="1" applyProtection="1">
      <alignment vertical="center"/>
    </xf>
    <xf numFmtId="169" fontId="3" fillId="2" borderId="25" xfId="6" applyNumberFormat="1" applyFont="1" applyFill="1" applyBorder="1" applyAlignment="1" applyProtection="1">
      <alignment vertical="center"/>
      <protection locked="0"/>
    </xf>
    <xf numFmtId="0" fontId="3" fillId="2" borderId="25" xfId="6" applyFont="1" applyFill="1" applyBorder="1" applyAlignment="1" applyProtection="1">
      <alignment vertical="center"/>
      <protection locked="0"/>
    </xf>
    <xf numFmtId="0" fontId="3" fillId="2" borderId="27" xfId="6" applyFont="1" applyFill="1" applyBorder="1" applyAlignment="1" applyProtection="1">
      <alignment vertical="center"/>
      <protection locked="0"/>
    </xf>
    <xf numFmtId="41" fontId="3" fillId="0" borderId="0" xfId="7" applyFont="1" applyAlignment="1" applyProtection="1">
      <alignment vertical="center"/>
    </xf>
    <xf numFmtId="41" fontId="3" fillId="0" borderId="25" xfId="6" applyNumberFormat="1" applyFont="1" applyBorder="1" applyAlignment="1">
      <alignment vertical="center"/>
    </xf>
    <xf numFmtId="41" fontId="4" fillId="0" borderId="25" xfId="6" applyNumberFormat="1" applyFont="1" applyBorder="1" applyAlignment="1">
      <alignment vertical="center"/>
    </xf>
    <xf numFmtId="3" fontId="3" fillId="0" borderId="0" xfId="0" applyNumberFormat="1" applyFont="1" applyAlignment="1">
      <alignment vertical="center"/>
    </xf>
    <xf numFmtId="0" fontId="16" fillId="0" borderId="27" xfId="6" applyFont="1" applyBorder="1" applyAlignment="1">
      <alignment vertical="center"/>
    </xf>
    <xf numFmtId="0" fontId="16" fillId="0" borderId="25" xfId="6" applyFont="1" applyBorder="1" applyAlignment="1">
      <alignment vertical="center"/>
    </xf>
    <xf numFmtId="41" fontId="5" fillId="0" borderId="25" xfId="6" applyNumberFormat="1" applyFont="1" applyBorder="1" applyAlignment="1">
      <alignment vertical="center"/>
    </xf>
    <xf numFmtId="3" fontId="16" fillId="0" borderId="0" xfId="0" applyNumberFormat="1" applyFont="1" applyAlignment="1">
      <alignment vertical="center"/>
    </xf>
    <xf numFmtId="171" fontId="16" fillId="0" borderId="25" xfId="6" applyNumberFormat="1" applyFont="1" applyBorder="1" applyAlignment="1">
      <alignment vertical="center"/>
    </xf>
    <xf numFmtId="0" fontId="16" fillId="0" borderId="0" xfId="0" applyFont="1" applyAlignment="1">
      <alignment vertical="center"/>
    </xf>
    <xf numFmtId="0" fontId="17" fillId="0" borderId="0" xfId="6" applyFont="1" applyAlignment="1">
      <alignment vertical="center"/>
    </xf>
    <xf numFmtId="165" fontId="4" fillId="0" borderId="0" xfId="4" applyNumberFormat="1"/>
    <xf numFmtId="0" fontId="4" fillId="0" borderId="3" xfId="4" applyBorder="1"/>
    <xf numFmtId="0" fontId="4" fillId="0" borderId="4" xfId="4" applyBorder="1"/>
    <xf numFmtId="0" fontId="4" fillId="2" borderId="4" xfId="4" applyFill="1" applyBorder="1" applyAlignment="1" applyProtection="1">
      <alignment horizontal="left"/>
      <protection locked="0"/>
    </xf>
    <xf numFmtId="0" fontId="4" fillId="0" borderId="4" xfId="4" applyBorder="1" applyAlignment="1">
      <alignment horizontal="left"/>
    </xf>
    <xf numFmtId="170" fontId="4" fillId="0" borderId="4" xfId="3" applyNumberFormat="1" applyFont="1" applyFill="1" applyBorder="1" applyProtection="1"/>
    <xf numFmtId="0" fontId="4" fillId="0" borderId="5" xfId="4" applyBorder="1"/>
    <xf numFmtId="0" fontId="4" fillId="2" borderId="0" xfId="4" applyFill="1" applyProtection="1">
      <protection locked="0"/>
    </xf>
    <xf numFmtId="0" fontId="4" fillId="0" borderId="7" xfId="4" applyBorder="1"/>
    <xf numFmtId="0" fontId="4" fillId="0" borderId="6" xfId="4" applyBorder="1"/>
    <xf numFmtId="0" fontId="4" fillId="0" borderId="8" xfId="4" applyBorder="1"/>
    <xf numFmtId="0" fontId="4" fillId="0" borderId="9" xfId="4" applyBorder="1"/>
    <xf numFmtId="0" fontId="4" fillId="0" borderId="10" xfId="4" applyBorder="1"/>
    <xf numFmtId="170" fontId="4" fillId="0" borderId="4" xfId="4" applyNumberFormat="1" applyBorder="1"/>
    <xf numFmtId="0" fontId="23" fillId="0" borderId="0" xfId="4" applyFont="1"/>
    <xf numFmtId="0" fontId="5" fillId="2" borderId="0" xfId="4" applyFont="1" applyFill="1" applyProtection="1">
      <protection locked="0"/>
    </xf>
    <xf numFmtId="0" fontId="4" fillId="0" borderId="0" xfId="4" applyAlignment="1">
      <alignment vertical="top" wrapText="1"/>
    </xf>
    <xf numFmtId="0" fontId="4" fillId="0" borderId="0" xfId="4" applyAlignment="1">
      <alignment horizontal="right" vertical="top"/>
    </xf>
    <xf numFmtId="0" fontId="5" fillId="0" borderId="0" xfId="4" applyFont="1" applyAlignment="1">
      <alignment horizontal="right" vertical="top"/>
    </xf>
    <xf numFmtId="3" fontId="5" fillId="0" borderId="0" xfId="4" applyNumberFormat="1" applyFont="1" applyAlignment="1">
      <alignment horizontal="center"/>
    </xf>
    <xf numFmtId="0" fontId="5" fillId="0" borderId="0" xfId="4" applyFont="1" applyAlignment="1">
      <alignment horizontal="center"/>
    </xf>
    <xf numFmtId="0" fontId="5" fillId="0" borderId="0" xfId="0" applyFont="1" applyAlignment="1">
      <alignment horizontal="right"/>
    </xf>
    <xf numFmtId="0" fontId="5" fillId="0" borderId="0" xfId="4" applyFont="1" applyAlignment="1">
      <alignment horizontal="right" vertical="center"/>
    </xf>
    <xf numFmtId="0" fontId="4" fillId="0" borderId="0" xfId="4" applyAlignment="1" applyProtection="1">
      <alignment vertical="top"/>
      <protection locked="0"/>
    </xf>
    <xf numFmtId="0" fontId="7" fillId="0" borderId="0" xfId="4" applyFont="1" applyAlignment="1" applyProtection="1">
      <alignment vertical="top"/>
      <protection locked="0"/>
    </xf>
    <xf numFmtId="0" fontId="5" fillId="0" borderId="1" xfId="5" applyFont="1" applyBorder="1" applyAlignment="1">
      <alignment vertical="top" wrapText="1"/>
    </xf>
    <xf numFmtId="0" fontId="4" fillId="0" borderId="0" xfId="5" applyAlignment="1" applyProtection="1">
      <alignment vertical="top"/>
      <protection locked="0"/>
    </xf>
    <xf numFmtId="0" fontId="5" fillId="0" borderId="2" xfId="5" applyFont="1" applyBorder="1" applyAlignment="1">
      <alignment vertical="top" wrapText="1"/>
    </xf>
    <xf numFmtId="0" fontId="4" fillId="3" borderId="2" xfId="5" applyFill="1" applyBorder="1" applyAlignment="1">
      <alignment vertical="top" wrapText="1"/>
    </xf>
    <xf numFmtId="0" fontId="4" fillId="8" borderId="2" xfId="5" applyFill="1" applyBorder="1" applyAlignment="1">
      <alignment vertical="top" wrapText="1"/>
    </xf>
    <xf numFmtId="0" fontId="4" fillId="6" borderId="2" xfId="5" applyFill="1" applyBorder="1" applyAlignment="1">
      <alignment vertical="top" wrapText="1"/>
    </xf>
    <xf numFmtId="0" fontId="5" fillId="0" borderId="0" xfId="5" applyFont="1" applyAlignment="1" applyProtection="1">
      <alignment vertical="top"/>
      <protection locked="0"/>
    </xf>
    <xf numFmtId="0" fontId="5" fillId="0" borderId="2" xfId="5" applyFont="1" applyBorder="1" applyAlignment="1">
      <alignment horizontal="left" vertical="top" wrapText="1"/>
    </xf>
    <xf numFmtId="0" fontId="4" fillId="0" borderId="39" xfId="5" applyBorder="1" applyAlignment="1">
      <alignment vertical="top" wrapText="1"/>
    </xf>
    <xf numFmtId="0" fontId="4" fillId="0" borderId="0" xfId="5" applyAlignment="1">
      <alignment vertical="top" wrapText="1"/>
    </xf>
    <xf numFmtId="0" fontId="25" fillId="0" borderId="0" xfId="4" applyFont="1"/>
    <xf numFmtId="0" fontId="4" fillId="9" borderId="13" xfId="4" applyFill="1" applyBorder="1" applyAlignment="1" applyProtection="1">
      <alignment vertical="center" wrapText="1"/>
      <protection locked="0"/>
    </xf>
    <xf numFmtId="3" fontId="4" fillId="9" borderId="14" xfId="4" applyNumberFormat="1" applyFill="1" applyBorder="1" applyAlignment="1" applyProtection="1">
      <alignment shrinkToFit="1"/>
      <protection locked="0"/>
    </xf>
    <xf numFmtId="10" fontId="4" fillId="9" borderId="0" xfId="3" applyNumberFormat="1" applyFont="1" applyFill="1" applyBorder="1" applyProtection="1">
      <protection locked="0"/>
    </xf>
    <xf numFmtId="0" fontId="4" fillId="9" borderId="0" xfId="4" applyFill="1"/>
    <xf numFmtId="41" fontId="3" fillId="9" borderId="25" xfId="6" applyNumberFormat="1" applyFont="1" applyFill="1" applyBorder="1" applyAlignment="1" applyProtection="1">
      <alignment vertical="center"/>
      <protection locked="0"/>
    </xf>
    <xf numFmtId="0" fontId="25" fillId="0" borderId="0" xfId="6" applyFont="1" applyAlignment="1">
      <alignment vertical="center"/>
    </xf>
    <xf numFmtId="1" fontId="4" fillId="9" borderId="0" xfId="4" applyNumberFormat="1" applyFill="1" applyProtection="1">
      <protection locked="0"/>
    </xf>
    <xf numFmtId="2" fontId="4" fillId="9" borderId="0" xfId="4" applyNumberFormat="1" applyFill="1" applyProtection="1">
      <protection locked="0"/>
    </xf>
    <xf numFmtId="0" fontId="25" fillId="0" borderId="0" xfId="4" applyFont="1" applyAlignment="1">
      <alignment vertical="top" wrapText="1"/>
    </xf>
    <xf numFmtId="0" fontId="4" fillId="9" borderId="2" xfId="5" applyFill="1" applyBorder="1" applyAlignment="1">
      <alignment vertical="top" wrapText="1"/>
    </xf>
    <xf numFmtId="0" fontId="15" fillId="0" borderId="0" xfId="4" applyFont="1"/>
    <xf numFmtId="0" fontId="15" fillId="0" borderId="0" xfId="4" applyFont="1" applyAlignment="1">
      <alignment horizontal="right"/>
    </xf>
    <xf numFmtId="0" fontId="15" fillId="2" borderId="0" xfId="4" applyFont="1" applyFill="1" applyProtection="1">
      <protection locked="0"/>
    </xf>
    <xf numFmtId="0" fontId="26" fillId="10" borderId="13" xfId="4" applyFont="1" applyFill="1" applyBorder="1" applyAlignment="1">
      <alignment vertical="center" wrapText="1"/>
    </xf>
    <xf numFmtId="0" fontId="4" fillId="0" borderId="40" xfId="4" applyBorder="1" applyAlignment="1">
      <alignment vertical="center" wrapText="1"/>
    </xf>
    <xf numFmtId="0" fontId="4" fillId="0" borderId="45" xfId="4" applyBorder="1"/>
    <xf numFmtId="0" fontId="4" fillId="0" borderId="2" xfId="4" applyBorder="1"/>
    <xf numFmtId="3" fontId="4" fillId="0" borderId="12" xfId="4" applyNumberFormat="1" applyBorder="1"/>
    <xf numFmtId="1" fontId="4" fillId="0" borderId="2" xfId="4" applyNumberFormat="1" applyBorder="1"/>
    <xf numFmtId="3" fontId="4" fillId="0" borderId="16" xfId="4" applyNumberFormat="1" applyBorder="1"/>
    <xf numFmtId="1" fontId="4" fillId="0" borderId="17" xfId="4" applyNumberFormat="1" applyBorder="1"/>
    <xf numFmtId="3" fontId="4" fillId="0" borderId="23" xfId="4" applyNumberFormat="1" applyBorder="1" applyAlignment="1">
      <alignment shrinkToFit="1"/>
    </xf>
    <xf numFmtId="3" fontId="4" fillId="9" borderId="16" xfId="4" applyNumberFormat="1" applyFill="1" applyBorder="1" applyAlignment="1" applyProtection="1">
      <alignment shrinkToFit="1"/>
      <protection locked="0"/>
    </xf>
    <xf numFmtId="3" fontId="4" fillId="0" borderId="46" xfId="4" applyNumberFormat="1" applyBorder="1" applyAlignment="1">
      <alignment shrinkToFit="1"/>
    </xf>
    <xf numFmtId="3" fontId="4" fillId="0" borderId="17" xfId="4" applyNumberFormat="1" applyBorder="1" applyAlignment="1">
      <alignment vertical="top" shrinkToFit="1"/>
    </xf>
    <xf numFmtId="0" fontId="4" fillId="7" borderId="2" xfId="5" applyFill="1" applyBorder="1" applyAlignment="1">
      <alignment vertical="top" wrapText="1"/>
    </xf>
    <xf numFmtId="0" fontId="4" fillId="7" borderId="0" xfId="4" applyFill="1"/>
    <xf numFmtId="0" fontId="4" fillId="7" borderId="0" xfId="4" applyFill="1" applyProtection="1">
      <protection locked="0"/>
    </xf>
    <xf numFmtId="1" fontId="4" fillId="7" borderId="0" xfId="4" applyNumberFormat="1" applyFill="1"/>
    <xf numFmtId="0" fontId="8" fillId="0" borderId="0" xfId="2" applyFont="1" applyFill="1" applyAlignment="1" applyProtection="1">
      <alignment horizontal="right"/>
    </xf>
    <xf numFmtId="0" fontId="8" fillId="0" borderId="0" xfId="2" applyFont="1" applyAlignment="1" applyProtection="1">
      <alignment horizontal="right"/>
    </xf>
    <xf numFmtId="0" fontId="11" fillId="0" borderId="0" xfId="0" applyFont="1" applyAlignment="1">
      <alignment horizontal="right"/>
    </xf>
    <xf numFmtId="0" fontId="22" fillId="0" borderId="0" xfId="2" applyFont="1" applyAlignment="1" applyProtection="1">
      <alignment horizontal="right"/>
    </xf>
    <xf numFmtId="0" fontId="13" fillId="0" borderId="0" xfId="2" applyFill="1" applyAlignment="1" applyProtection="1">
      <alignment horizontal="right"/>
    </xf>
    <xf numFmtId="0" fontId="8" fillId="0" borderId="0" xfId="2" applyFont="1" applyAlignment="1" applyProtection="1">
      <alignment horizontal="right" vertical="center"/>
    </xf>
    <xf numFmtId="0" fontId="3" fillId="0" borderId="0" xfId="6" applyFont="1" applyAlignment="1">
      <alignment horizontal="right" vertical="center"/>
    </xf>
    <xf numFmtId="0" fontId="3" fillId="0" borderId="0" xfId="0" applyFont="1" applyAlignment="1">
      <alignment horizontal="right" vertical="center"/>
    </xf>
    <xf numFmtId="0" fontId="4" fillId="0" borderId="0" xfId="4" applyAlignment="1">
      <alignment horizontal="right" vertical="center"/>
    </xf>
    <xf numFmtId="0" fontId="4" fillId="0" borderId="42" xfId="4" applyBorder="1" applyAlignment="1">
      <alignment horizontal="center"/>
    </xf>
    <xf numFmtId="0" fontId="4" fillId="0" borderId="0" xfId="0" applyFont="1" applyAlignment="1">
      <alignment horizontal="right"/>
    </xf>
    <xf numFmtId="0" fontId="13" fillId="0" borderId="0" xfId="2" applyAlignment="1" applyProtection="1">
      <alignment horizontal="right"/>
    </xf>
    <xf numFmtId="0" fontId="13" fillId="0" borderId="0" xfId="2" applyAlignment="1" applyProtection="1">
      <alignment horizontal="right" vertical="center"/>
    </xf>
    <xf numFmtId="0" fontId="13" fillId="0" borderId="18" xfId="2" applyBorder="1" applyAlignment="1" applyProtection="1">
      <alignment horizontal="center" vertical="center"/>
    </xf>
    <xf numFmtId="0" fontId="13" fillId="0" borderId="28" xfId="2" applyBorder="1" applyAlignment="1" applyProtection="1">
      <alignment horizontal="center" vertical="center"/>
    </xf>
    <xf numFmtId="0" fontId="13" fillId="0" borderId="2" xfId="2" applyBorder="1" applyAlignment="1" applyProtection="1">
      <alignment horizontal="center" vertical="center" wrapText="1"/>
    </xf>
    <xf numFmtId="0" fontId="13" fillId="0" borderId="19" xfId="2" applyBorder="1" applyAlignment="1" applyProtection="1">
      <alignment horizontal="center" vertical="center"/>
    </xf>
    <xf numFmtId="0" fontId="13" fillId="0" borderId="19" xfId="2" applyFill="1" applyBorder="1" applyAlignment="1" applyProtection="1">
      <alignment horizontal="center" vertical="center" wrapText="1"/>
    </xf>
    <xf numFmtId="0" fontId="13" fillId="0" borderId="19" xfId="2" applyBorder="1" applyAlignment="1" applyProtection="1">
      <alignment horizontal="center" vertical="center" wrapText="1"/>
    </xf>
    <xf numFmtId="0" fontId="13" fillId="0" borderId="41" xfId="2" applyBorder="1" applyAlignment="1" applyProtection="1">
      <alignment horizontal="center" vertical="center" wrapText="1"/>
    </xf>
    <xf numFmtId="0" fontId="13" fillId="0" borderId="28" xfId="2" applyFill="1" applyBorder="1" applyAlignment="1" applyProtection="1">
      <alignment horizontal="center" vertical="center"/>
    </xf>
    <xf numFmtId="0" fontId="13" fillId="0" borderId="14" xfId="2" applyFill="1" applyBorder="1" applyAlignment="1" applyProtection="1">
      <alignment horizontal="center" vertical="center" wrapText="1"/>
    </xf>
    <xf numFmtId="0" fontId="13" fillId="0" borderId="28" xfId="2" applyBorder="1" applyAlignment="1" applyProtection="1">
      <alignment horizontal="center" vertical="center" wrapText="1"/>
    </xf>
    <xf numFmtId="0" fontId="13" fillId="0" borderId="30" xfId="2" applyBorder="1" applyAlignment="1" applyProtection="1">
      <alignment horizontal="center" vertical="center" wrapText="1"/>
    </xf>
    <xf numFmtId="0" fontId="13" fillId="0" borderId="20" xfId="2" applyBorder="1" applyAlignment="1" applyProtection="1">
      <alignment horizontal="center" vertical="center" wrapText="1"/>
    </xf>
    <xf numFmtId="0" fontId="13" fillId="0" borderId="12" xfId="2" applyBorder="1" applyAlignment="1" applyProtection="1">
      <alignment horizontal="center" vertical="center" wrapText="1"/>
    </xf>
    <xf numFmtId="0" fontId="13" fillId="0" borderId="18" xfId="2" applyFill="1" applyBorder="1" applyAlignment="1" applyProtection="1">
      <alignment horizontal="center" vertical="center" wrapText="1"/>
    </xf>
    <xf numFmtId="0" fontId="13" fillId="0" borderId="2" xfId="2" applyFill="1" applyBorder="1" applyAlignment="1" applyProtection="1">
      <alignment horizontal="center" vertical="center" wrapText="1"/>
    </xf>
    <xf numFmtId="0" fontId="13" fillId="0" borderId="0" xfId="2" applyFill="1" applyAlignment="1" applyProtection="1">
      <alignment horizontal="center" vertical="center"/>
    </xf>
    <xf numFmtId="0" fontId="13" fillId="0" borderId="12" xfId="2" applyBorder="1" applyAlignment="1" applyProtection="1">
      <alignment horizontal="center" vertical="center"/>
    </xf>
    <xf numFmtId="0" fontId="13" fillId="0" borderId="14" xfId="2" applyBorder="1" applyAlignment="1" applyProtection="1">
      <alignment horizontal="center" vertical="center" wrapText="1"/>
    </xf>
    <xf numFmtId="0" fontId="13" fillId="0" borderId="0" xfId="2" applyFill="1" applyAlignment="1" applyProtection="1">
      <alignment horizontal="right" vertical="top"/>
    </xf>
    <xf numFmtId="0" fontId="13" fillId="0" borderId="0" xfId="2" applyAlignment="1" applyProtection="1"/>
    <xf numFmtId="0" fontId="13" fillId="0" borderId="0" xfId="2" applyFill="1" applyAlignment="1" applyProtection="1"/>
    <xf numFmtId="2" fontId="4" fillId="0" borderId="0" xfId="4" applyNumberFormat="1"/>
    <xf numFmtId="0" fontId="13" fillId="0" borderId="0" xfId="2" applyBorder="1" applyAlignment="1" applyProtection="1">
      <alignment horizontal="right"/>
    </xf>
    <xf numFmtId="0" fontId="4" fillId="0" borderId="28" xfId="4" applyBorder="1"/>
    <xf numFmtId="0" fontId="13" fillId="0" borderId="2" xfId="2" applyFill="1" applyBorder="1" applyAlignment="1" applyProtection="1">
      <alignment horizontal="center"/>
    </xf>
    <xf numFmtId="0" fontId="22" fillId="0" borderId="43" xfId="4" applyFont="1" applyBorder="1"/>
    <xf numFmtId="0" fontId="5" fillId="0" borderId="45" xfId="4" applyFont="1" applyBorder="1"/>
    <xf numFmtId="0" fontId="4" fillId="0" borderId="0" xfId="4" applyAlignment="1">
      <alignment vertical="center" wrapText="1"/>
    </xf>
    <xf numFmtId="0" fontId="13" fillId="0" borderId="0" xfId="2" applyFill="1" applyBorder="1" applyAlignment="1" applyProtection="1">
      <alignment horizontal="center"/>
    </xf>
    <xf numFmtId="0" fontId="4" fillId="10" borderId="13" xfId="4" applyFill="1" applyBorder="1" applyAlignment="1">
      <alignment vertical="center" wrapText="1"/>
    </xf>
    <xf numFmtId="0" fontId="17" fillId="0" borderId="0" xfId="4" applyFont="1"/>
    <xf numFmtId="2" fontId="4" fillId="7" borderId="0" xfId="4" applyNumberFormat="1" applyFill="1" applyProtection="1">
      <protection locked="0"/>
    </xf>
    <xf numFmtId="0" fontId="4" fillId="0" borderId="0" xfId="4" applyAlignment="1">
      <alignment wrapText="1"/>
    </xf>
    <xf numFmtId="0" fontId="2" fillId="0" borderId="27" xfId="6" applyFont="1" applyBorder="1" applyAlignment="1">
      <alignment vertical="center"/>
    </xf>
    <xf numFmtId="4" fontId="4" fillId="2" borderId="0" xfId="4" applyNumberFormat="1" applyFill="1" applyProtection="1">
      <protection locked="0"/>
    </xf>
    <xf numFmtId="1" fontId="4" fillId="2" borderId="0" xfId="4" applyNumberFormat="1" applyFill="1" applyProtection="1">
      <protection locked="0"/>
    </xf>
    <xf numFmtId="2" fontId="4" fillId="2" borderId="0" xfId="4" applyNumberFormat="1" applyFill="1" applyProtection="1">
      <protection locked="0"/>
    </xf>
    <xf numFmtId="3" fontId="4" fillId="2" borderId="0" xfId="4" applyNumberFormat="1" applyFill="1" applyProtection="1">
      <protection locked="0"/>
    </xf>
    <xf numFmtId="0" fontId="27" fillId="0" borderId="0" xfId="2" applyFont="1" applyAlignment="1" applyProtection="1"/>
    <xf numFmtId="3" fontId="4" fillId="3" borderId="0" xfId="4" applyNumberFormat="1" applyFill="1" applyProtection="1">
      <protection locked="0"/>
    </xf>
    <xf numFmtId="3" fontId="4" fillId="0" borderId="0" xfId="4" applyNumberFormat="1" applyAlignment="1">
      <alignment horizontal="right"/>
    </xf>
    <xf numFmtId="3" fontId="3" fillId="2" borderId="25" xfId="7" applyNumberFormat="1" applyFont="1" applyFill="1" applyBorder="1" applyAlignment="1" applyProtection="1">
      <alignment vertical="center"/>
      <protection locked="0"/>
    </xf>
    <xf numFmtId="0" fontId="13" fillId="0" borderId="19" xfId="2" applyFill="1" applyBorder="1" applyAlignment="1" applyProtection="1">
      <alignment horizontal="center" vertical="center"/>
    </xf>
    <xf numFmtId="3" fontId="4" fillId="0" borderId="31" xfId="4" applyNumberFormat="1" applyBorder="1" applyAlignment="1">
      <alignment shrinkToFit="1"/>
    </xf>
    <xf numFmtId="3" fontId="4" fillId="0" borderId="32" xfId="4" applyNumberFormat="1" applyBorder="1" applyAlignment="1">
      <alignment shrinkToFit="1"/>
    </xf>
    <xf numFmtId="0" fontId="13" fillId="0" borderId="0" xfId="2" applyFill="1" applyAlignment="1" applyProtection="1">
      <alignment horizontal="center"/>
    </xf>
    <xf numFmtId="3" fontId="4" fillId="0" borderId="2" xfId="4" applyNumberFormat="1" applyBorder="1" applyAlignment="1">
      <alignment shrinkToFit="1"/>
    </xf>
    <xf numFmtId="3" fontId="4" fillId="0" borderId="17" xfId="4" applyNumberFormat="1" applyBorder="1" applyAlignment="1">
      <alignment shrinkToFit="1"/>
    </xf>
    <xf numFmtId="0" fontId="13" fillId="0" borderId="2" xfId="2" applyFill="1" applyBorder="1" applyAlignment="1" applyProtection="1">
      <alignment horizontal="center" vertical="center"/>
    </xf>
    <xf numFmtId="0" fontId="1" fillId="0" borderId="27" xfId="6" applyFont="1" applyBorder="1" applyAlignment="1">
      <alignment vertical="center"/>
    </xf>
    <xf numFmtId="0" fontId="1" fillId="0" borderId="25" xfId="6" applyFont="1" applyBorder="1" applyAlignment="1">
      <alignment vertical="center"/>
    </xf>
    <xf numFmtId="0" fontId="4" fillId="0" borderId="0" xfId="4" applyAlignment="1" applyProtection="1">
      <alignment horizontal="left" vertical="top"/>
      <protection locked="0"/>
    </xf>
    <xf numFmtId="0" fontId="4" fillId="0" borderId="11" xfId="5" applyBorder="1" applyAlignment="1" applyProtection="1">
      <alignment horizontal="left" vertical="top"/>
      <protection locked="0"/>
    </xf>
    <xf numFmtId="0" fontId="4" fillId="0" borderId="12" xfId="5" applyBorder="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12" xfId="2" applyFont="1" applyBorder="1" applyAlignment="1" applyProtection="1">
      <alignment horizontal="left" vertical="top"/>
      <protection locked="0"/>
    </xf>
    <xf numFmtId="0" fontId="4" fillId="0" borderId="12" xfId="2" applyFont="1" applyFill="1" applyBorder="1" applyAlignment="1" applyProtection="1">
      <alignment horizontal="left" vertical="top"/>
      <protection locked="0"/>
    </xf>
    <xf numFmtId="0" fontId="4" fillId="0" borderId="12" xfId="0" applyFont="1" applyBorder="1" applyAlignment="1" applyProtection="1">
      <alignment horizontal="left" vertical="top" wrapText="1"/>
      <protection locked="0"/>
    </xf>
    <xf numFmtId="0" fontId="4" fillId="0" borderId="38" xfId="5" applyBorder="1" applyAlignment="1" applyProtection="1">
      <alignment horizontal="left" vertical="top"/>
      <protection locked="0"/>
    </xf>
    <xf numFmtId="0" fontId="4" fillId="0" borderId="0" xfId="5" applyAlignment="1" applyProtection="1">
      <alignment horizontal="left" vertical="top"/>
      <protection locked="0"/>
    </xf>
    <xf numFmtId="0" fontId="4" fillId="0" borderId="0" xfId="4" quotePrefix="1"/>
    <xf numFmtId="3" fontId="4" fillId="9" borderId="0" xfId="4" applyNumberFormat="1" applyFill="1" applyProtection="1">
      <protection locked="0"/>
    </xf>
    <xf numFmtId="1" fontId="4" fillId="3" borderId="0" xfId="4" applyNumberFormat="1" applyFill="1" applyProtection="1">
      <protection locked="0"/>
    </xf>
    <xf numFmtId="2" fontId="4" fillId="7" borderId="0" xfId="4" applyNumberFormat="1" applyFill="1"/>
    <xf numFmtId="3" fontId="4" fillId="7" borderId="0" xfId="4" applyNumberFormat="1" applyFill="1"/>
    <xf numFmtId="166" fontId="4" fillId="0" borderId="0" xfId="4" applyNumberFormat="1"/>
    <xf numFmtId="3" fontId="5" fillId="0" borderId="0" xfId="0" applyNumberFormat="1" applyFont="1"/>
    <xf numFmtId="0" fontId="5" fillId="0" borderId="50" xfId="4" applyFont="1" applyBorder="1"/>
    <xf numFmtId="0" fontId="5" fillId="0" borderId="51" xfId="4" applyFont="1" applyBorder="1"/>
    <xf numFmtId="0" fontId="4" fillId="0" borderId="22" xfId="4" applyBorder="1"/>
    <xf numFmtId="0" fontId="4" fillId="0" borderId="52" xfId="4" applyBorder="1"/>
    <xf numFmtId="3" fontId="4" fillId="0" borderId="14" xfId="0" applyNumberFormat="1" applyFont="1" applyBorder="1"/>
    <xf numFmtId="3" fontId="4" fillId="0" borderId="2" xfId="0" applyNumberFormat="1" applyFont="1" applyBorder="1"/>
    <xf numFmtId="0" fontId="5" fillId="0" borderId="54" xfId="4" applyFont="1" applyBorder="1"/>
    <xf numFmtId="0" fontId="4" fillId="0" borderId="28" xfId="4" applyBorder="1" applyAlignment="1">
      <alignment wrapText="1"/>
    </xf>
    <xf numFmtId="3" fontId="4" fillId="0" borderId="19" xfId="4" applyNumberFormat="1" applyBorder="1"/>
    <xf numFmtId="3" fontId="4" fillId="0" borderId="19" xfId="0" applyNumberFormat="1" applyFont="1" applyBorder="1"/>
    <xf numFmtId="3" fontId="4" fillId="0" borderId="20" xfId="0" applyNumberFormat="1" applyFont="1" applyBorder="1"/>
    <xf numFmtId="0" fontId="4" fillId="0" borderId="21" xfId="4" applyBorder="1"/>
    <xf numFmtId="0" fontId="4" fillId="0" borderId="55" xfId="4" applyBorder="1"/>
    <xf numFmtId="0" fontId="4" fillId="0" borderId="56" xfId="4" applyBorder="1"/>
    <xf numFmtId="0" fontId="5" fillId="0" borderId="57" xfId="4" applyFont="1" applyBorder="1"/>
    <xf numFmtId="0" fontId="4" fillId="0" borderId="54" xfId="4" applyBorder="1"/>
    <xf numFmtId="0" fontId="4" fillId="0" borderId="50" xfId="4" applyBorder="1"/>
    <xf numFmtId="0" fontId="4" fillId="0" borderId="44" xfId="4" applyBorder="1"/>
    <xf numFmtId="0" fontId="5" fillId="0" borderId="58" xfId="4" applyFont="1" applyBorder="1"/>
    <xf numFmtId="0" fontId="4" fillId="0" borderId="59" xfId="4" applyBorder="1"/>
    <xf numFmtId="0" fontId="5" fillId="0" borderId="59" xfId="4" applyFont="1" applyBorder="1"/>
    <xf numFmtId="3" fontId="4" fillId="0" borderId="60" xfId="4" applyNumberFormat="1" applyBorder="1"/>
    <xf numFmtId="3" fontId="4" fillId="0" borderId="60" xfId="0" applyNumberFormat="1" applyFont="1" applyBorder="1"/>
    <xf numFmtId="3" fontId="4" fillId="0" borderId="39" xfId="0" applyNumberFormat="1" applyFont="1" applyBorder="1"/>
    <xf numFmtId="3" fontId="5" fillId="0" borderId="61" xfId="4" applyNumberFormat="1" applyFont="1" applyBorder="1"/>
    <xf numFmtId="3" fontId="5" fillId="0" borderId="62" xfId="4" applyNumberFormat="1" applyFont="1" applyBorder="1"/>
    <xf numFmtId="0" fontId="5" fillId="0" borderId="47" xfId="0" applyFont="1" applyBorder="1"/>
    <xf numFmtId="0" fontId="5" fillId="0" borderId="47" xfId="4" applyFont="1" applyBorder="1"/>
    <xf numFmtId="0" fontId="5" fillId="0" borderId="63" xfId="0" applyFont="1" applyBorder="1"/>
    <xf numFmtId="3" fontId="4" fillId="0" borderId="47" xfId="0" applyNumberFormat="1" applyFont="1" applyBorder="1"/>
    <xf numFmtId="3" fontId="4" fillId="0" borderId="63" xfId="0" applyNumberFormat="1" applyFont="1" applyBorder="1"/>
    <xf numFmtId="0" fontId="5" fillId="0" borderId="49" xfId="4" applyFont="1" applyBorder="1"/>
    <xf numFmtId="3" fontId="4" fillId="0" borderId="13" xfId="4" applyNumberFormat="1" applyBorder="1"/>
    <xf numFmtId="3" fontId="4" fillId="0" borderId="13" xfId="0" applyNumberFormat="1" applyFont="1" applyBorder="1"/>
    <xf numFmtId="3" fontId="4" fillId="0" borderId="1" xfId="0" applyNumberFormat="1" applyFont="1" applyBorder="1"/>
    <xf numFmtId="3" fontId="4" fillId="0" borderId="14" xfId="4" applyNumberFormat="1" applyBorder="1" applyAlignment="1">
      <alignment horizontal="right"/>
    </xf>
    <xf numFmtId="3" fontId="4" fillId="0" borderId="2" xfId="4" applyNumberFormat="1" applyBorder="1" applyAlignment="1">
      <alignment horizontal="right"/>
    </xf>
    <xf numFmtId="3" fontId="4" fillId="0" borderId="60" xfId="4" applyNumberFormat="1" applyBorder="1" applyAlignment="1">
      <alignment horizontal="right"/>
    </xf>
    <xf numFmtId="3" fontId="4" fillId="0" borderId="39" xfId="4" applyNumberFormat="1" applyBorder="1" applyAlignment="1">
      <alignment horizontal="right"/>
    </xf>
    <xf numFmtId="3" fontId="5" fillId="0" borderId="64" xfId="4" applyNumberFormat="1" applyFont="1" applyBorder="1"/>
    <xf numFmtId="3" fontId="5" fillId="0" borderId="53" xfId="4" applyNumberFormat="1" applyFont="1" applyBorder="1"/>
    <xf numFmtId="3" fontId="4" fillId="0" borderId="19" xfId="4" applyNumberFormat="1" applyBorder="1" applyAlignment="1">
      <alignment horizontal="right"/>
    </xf>
    <xf numFmtId="3" fontId="4" fillId="0" borderId="20" xfId="4" applyNumberFormat="1" applyBorder="1" applyAlignment="1">
      <alignment horizontal="right"/>
    </xf>
    <xf numFmtId="3" fontId="4" fillId="0" borderId="48" xfId="4" applyNumberFormat="1" applyBorder="1"/>
    <xf numFmtId="3" fontId="4" fillId="0" borderId="48" xfId="0" applyNumberFormat="1" applyFont="1" applyBorder="1"/>
    <xf numFmtId="3" fontId="4" fillId="0" borderId="48" xfId="4" applyNumberFormat="1" applyBorder="1" applyAlignment="1">
      <alignment horizontal="right"/>
    </xf>
    <xf numFmtId="3" fontId="4" fillId="0" borderId="65" xfId="4" applyNumberFormat="1" applyBorder="1" applyAlignment="1">
      <alignment horizontal="right"/>
    </xf>
    <xf numFmtId="0" fontId="4" fillId="2" borderId="14" xfId="4" applyFill="1" applyBorder="1" applyProtection="1">
      <protection locked="0"/>
    </xf>
    <xf numFmtId="0" fontId="4" fillId="2" borderId="2" xfId="4" applyFill="1" applyBorder="1" applyProtection="1">
      <protection locked="0"/>
    </xf>
    <xf numFmtId="0" fontId="4" fillId="2" borderId="60" xfId="4" applyFill="1" applyBorder="1" applyProtection="1">
      <protection locked="0"/>
    </xf>
    <xf numFmtId="0" fontId="4" fillId="2" borderId="39" xfId="4" applyFill="1" applyBorder="1" applyProtection="1">
      <protection locked="0"/>
    </xf>
    <xf numFmtId="0" fontId="5" fillId="0" borderId="66" xfId="4" applyFont="1" applyBorder="1"/>
    <xf numFmtId="0" fontId="4" fillId="0" borderId="67" xfId="4" applyBorder="1"/>
    <xf numFmtId="0" fontId="5" fillId="0" borderId="67" xfId="4" applyFont="1" applyBorder="1"/>
    <xf numFmtId="3" fontId="5" fillId="0" borderId="68" xfId="4" applyNumberFormat="1" applyFont="1" applyBorder="1"/>
    <xf numFmtId="0" fontId="4" fillId="3" borderId="0" xfId="4" applyFill="1" applyProtection="1">
      <protection locked="0"/>
    </xf>
    <xf numFmtId="0" fontId="15" fillId="0" borderId="2" xfId="5" applyFont="1" applyBorder="1" applyAlignment="1">
      <alignment vertical="top" wrapText="1"/>
    </xf>
    <xf numFmtId="0" fontId="5" fillId="0" borderId="0" xfId="4" applyFont="1" applyAlignment="1">
      <alignment horizontal="left"/>
    </xf>
    <xf numFmtId="0" fontId="4" fillId="0" borderId="0" xfId="4" applyAlignment="1">
      <alignment horizontal="left"/>
    </xf>
    <xf numFmtId="0" fontId="4" fillId="2" borderId="0" xfId="4" applyFill="1"/>
    <xf numFmtId="0" fontId="4" fillId="9" borderId="0" xfId="4" applyFill="1"/>
    <xf numFmtId="0" fontId="22" fillId="0" borderId="0" xfId="4" applyFont="1"/>
    <xf numFmtId="0" fontId="4" fillId="0" borderId="0" xfId="4" applyAlignment="1">
      <alignment horizontal="right"/>
    </xf>
    <xf numFmtId="0" fontId="5" fillId="0" borderId="0" xfId="4" applyFont="1" applyAlignment="1">
      <alignment horizontal="right"/>
    </xf>
    <xf numFmtId="0" fontId="4" fillId="0" borderId="0" xfId="4" applyAlignment="1">
      <alignment horizontal="left" vertical="top" wrapText="1"/>
    </xf>
    <xf numFmtId="0" fontId="4" fillId="3" borderId="0" xfId="4" applyFill="1" applyAlignment="1" applyProtection="1">
      <alignment horizontal="left" vertical="top" wrapText="1"/>
      <protection locked="0"/>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4">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b val="0"/>
        <i val="0"/>
        <strike val="0"/>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99"/>
      <color rgb="FFFFFFCC"/>
      <color rgb="FFD5001C"/>
      <color rgb="FFD8E4BC"/>
      <color rgb="FFFFFF66"/>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22/10/relationships/richValueRel" Target="richData/richValueRel.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Kreditstand / Restwertentwicklung</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-2730000</c:v>
                </c:pt>
                <c:pt idx="1">
                  <c:v>-17055000</c:v>
                </c:pt>
                <c:pt idx="2">
                  <c:v>-28000000</c:v>
                </c:pt>
                <c:pt idx="3">
                  <c:v>-27250000</c:v>
                </c:pt>
                <c:pt idx="4">
                  <c:v>-25538461.53846154</c:v>
                </c:pt>
                <c:pt idx="5">
                  <c:v>-23826923.07692308</c:v>
                </c:pt>
                <c:pt idx="6">
                  <c:v>-22115384.61538462</c:v>
                </c:pt>
                <c:pt idx="7">
                  <c:v>-21153846.15384616</c:v>
                </c:pt>
                <c:pt idx="8">
                  <c:v>-20192307.692307699</c:v>
                </c:pt>
                <c:pt idx="9">
                  <c:v>-19230769.230769239</c:v>
                </c:pt>
                <c:pt idx="10">
                  <c:v>-18269230.769230779</c:v>
                </c:pt>
                <c:pt idx="11">
                  <c:v>-17307692.307692319</c:v>
                </c:pt>
                <c:pt idx="12">
                  <c:v>-16346153.846153857</c:v>
                </c:pt>
                <c:pt idx="13">
                  <c:v>-15384615.384615395</c:v>
                </c:pt>
                <c:pt idx="14">
                  <c:v>-14423076.923076933</c:v>
                </c:pt>
                <c:pt idx="15">
                  <c:v>-13461538.461538471</c:v>
                </c:pt>
                <c:pt idx="16">
                  <c:v>-12500000.000000009</c:v>
                </c:pt>
                <c:pt idx="17">
                  <c:v>-11538461.538461547</c:v>
                </c:pt>
                <c:pt idx="18">
                  <c:v>-10576923.076923085</c:v>
                </c:pt>
                <c:pt idx="19">
                  <c:v>-9615384.6153846234</c:v>
                </c:pt>
                <c:pt idx="20">
                  <c:v>-8653846.1538461614</c:v>
                </c:pt>
                <c:pt idx="21">
                  <c:v>-7692307.6923076995</c:v>
                </c:pt>
                <c:pt idx="22">
                  <c:v>-6730769.2307692375</c:v>
                </c:pt>
                <c:pt idx="23">
                  <c:v>-5769230.7692307755</c:v>
                </c:pt>
                <c:pt idx="24">
                  <c:v>-4807692.3076923136</c:v>
                </c:pt>
              </c:numCache>
            </c:numRef>
          </c:val>
          <c:extLst>
            <c:ext xmlns:c16="http://schemas.microsoft.com/office/drawing/2014/chart" uri="{C3380CC4-5D6E-409C-BE32-E72D297353CC}">
              <c16:uniqueId val="{00000004-398E-4E97-8B6C-8D1801B22DF1}"/>
            </c:ext>
          </c:extLst>
        </c:ser>
        <c:ser>
          <c:idx val="5"/>
          <c:order val="1"/>
          <c:tx>
            <c:strRef>
              <c:f>B1_Berechnungen!$AQ$41</c:f>
              <c:strCache>
                <c:ptCount val="1"/>
                <c:pt idx="0">
                  <c:v>Restwert der Anlagen</c:v>
                </c:pt>
              </c:strCache>
            </c:strRef>
          </c:tx>
          <c:spPr>
            <a:solidFill>
              <a:schemeClr val="accent6">
                <a:lumMod val="40000"/>
                <a:lumOff val="6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6130000</c:v>
                </c:pt>
                <c:pt idx="1">
                  <c:v>15325000</c:v>
                </c:pt>
                <c:pt idx="2">
                  <c:v>27585000</c:v>
                </c:pt>
                <c:pt idx="3">
                  <c:v>29489141.834647968</c:v>
                </c:pt>
                <c:pt idx="4">
                  <c:v>28328283.669295937</c:v>
                </c:pt>
                <c:pt idx="5">
                  <c:v>27167425.503943905</c:v>
                </c:pt>
                <c:pt idx="6">
                  <c:v>26006567.338591874</c:v>
                </c:pt>
                <c:pt idx="7">
                  <c:v>24845709.173239842</c:v>
                </c:pt>
                <c:pt idx="8">
                  <c:v>23684851.00788781</c:v>
                </c:pt>
                <c:pt idx="9">
                  <c:v>22523992.842535779</c:v>
                </c:pt>
                <c:pt idx="10">
                  <c:v>21363134.677183747</c:v>
                </c:pt>
                <c:pt idx="11">
                  <c:v>20202276.511831716</c:v>
                </c:pt>
                <c:pt idx="12">
                  <c:v>19041418.346479684</c:v>
                </c:pt>
                <c:pt idx="13">
                  <c:v>17880560.181127653</c:v>
                </c:pt>
                <c:pt idx="14">
                  <c:v>16719702.015775623</c:v>
                </c:pt>
                <c:pt idx="15">
                  <c:v>15558843.850423593</c:v>
                </c:pt>
                <c:pt idx="16">
                  <c:v>14397985.685071563</c:v>
                </c:pt>
                <c:pt idx="17">
                  <c:v>13237127.519719534</c:v>
                </c:pt>
                <c:pt idx="18">
                  <c:v>12536364.43103897</c:v>
                </c:pt>
                <c:pt idx="19">
                  <c:v>11371213.760210406</c:v>
                </c:pt>
                <c:pt idx="20">
                  <c:v>10206063.089381842</c:v>
                </c:pt>
                <c:pt idx="21">
                  <c:v>9040912.4185532779</c:v>
                </c:pt>
                <c:pt idx="22">
                  <c:v>7875761.7477247138</c:v>
                </c:pt>
                <c:pt idx="23">
                  <c:v>17824133.581534315</c:v>
                </c:pt>
                <c:pt idx="24">
                  <c:v>16485747.545825221</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B1_Berechnungen!$AK$41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3.125E-2"/>
          <c:y val="0.94500157480314995"/>
          <c:w val="0.2478012736420755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(Geldfluss)</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311900</c:v>
                </c:pt>
                <c:pt idx="1">
                  <c:v>743950</c:v>
                </c:pt>
                <c:pt idx="2">
                  <c:v>2144631.8757285741</c:v>
                </c:pt>
                <c:pt idx="3">
                  <c:v>2742737.1249623434</c:v>
                </c:pt>
                <c:pt idx="4">
                  <c:v>3041579.5599606298</c:v>
                </c:pt>
                <c:pt idx="5">
                  <c:v>3180110.0344879013</c:v>
                </c:pt>
                <c:pt idx="6">
                  <c:v>3220698.951336436</c:v>
                </c:pt>
                <c:pt idx="7">
                  <c:v>3286460.7266817186</c:v>
                </c:pt>
                <c:pt idx="8">
                  <c:v>3273175.9542738833</c:v>
                </c:pt>
                <c:pt idx="9">
                  <c:v>3259987.7652944699</c:v>
                </c:pt>
                <c:pt idx="10">
                  <c:v>3240945.2495189779</c:v>
                </c:pt>
                <c:pt idx="11">
                  <c:v>3247295.4671640219</c:v>
                </c:pt>
                <c:pt idx="12">
                  <c:v>3253741.3625123324</c:v>
                </c:pt>
                <c:pt idx="13">
                  <c:v>3234996.0075224563</c:v>
                </c:pt>
                <c:pt idx="14">
                  <c:v>3216353.4137980053</c:v>
                </c:pt>
                <c:pt idx="15">
                  <c:v>3197814.6087763035</c:v>
                </c:pt>
                <c:pt idx="16">
                  <c:v>3179380.6301690717</c:v>
                </c:pt>
                <c:pt idx="17">
                  <c:v>3161052.5260651591</c:v>
                </c:pt>
                <c:pt idx="18">
                  <c:v>3142831.3550343257</c:v>
                </c:pt>
                <c:pt idx="19">
                  <c:v>3124718.1862320425</c:v>
                </c:pt>
                <c:pt idx="20">
                  <c:v>3106714.099505357</c:v>
                </c:pt>
                <c:pt idx="21">
                  <c:v>3088820.1854998022</c:v>
                </c:pt>
                <c:pt idx="22">
                  <c:v>3071037.5457673841</c:v>
                </c:pt>
                <c:pt idx="23">
                  <c:v>3053367.2928756475</c:v>
                </c:pt>
                <c:pt idx="24">
                  <c:v>3035810.5505178277</c:v>
                </c:pt>
              </c:numCache>
            </c:numRef>
          </c:val>
          <c:extLst>
            <c:ext xmlns:c16="http://schemas.microsoft.com/office/drawing/2014/chart" uri="{C3380CC4-5D6E-409C-BE32-E72D297353CC}">
              <c16:uniqueId val="{00000000-CF4C-4FD7-B65D-9760A1674003}"/>
            </c:ext>
          </c:extLst>
        </c:ser>
        <c:ser>
          <c:idx val="6"/>
          <c:order val="1"/>
          <c:tx>
            <c:strRef>
              <c:f>B1_Berechnungen!$AJ$41</c:f>
              <c:strCache>
                <c:ptCount val="1"/>
                <c:pt idx="0">
                  <c:v>Gesamt-aufwand inkl. Kredit-amortisation</c:v>
                </c:pt>
              </c:strCache>
            </c:strRef>
          </c:tx>
          <c:spPr>
            <a:solidFill>
              <a:schemeClr val="accent2"/>
            </a:solidFill>
            <a:ln>
              <a:noFill/>
            </a:ln>
          </c:spPr>
          <c:invertIfNegative val="0"/>
          <c:val>
            <c:numRef>
              <c:f>B1_Berechnungen!$AJ$44:$AJ$68</c:f>
              <c:numCache>
                <c:formatCode>#,##0</c:formatCode>
                <c:ptCount val="25"/>
                <c:pt idx="0">
                  <c:v>311900</c:v>
                </c:pt>
                <c:pt idx="1">
                  <c:v>743950</c:v>
                </c:pt>
                <c:pt idx="2">
                  <c:v>2144631.8757285741</c:v>
                </c:pt>
                <c:pt idx="3">
                  <c:v>3492737.1249623434</c:v>
                </c:pt>
                <c:pt idx="4">
                  <c:v>4753118.0214990918</c:v>
                </c:pt>
                <c:pt idx="5">
                  <c:v>4891648.4960263632</c:v>
                </c:pt>
                <c:pt idx="6">
                  <c:v>4932237.4128748979</c:v>
                </c:pt>
                <c:pt idx="7">
                  <c:v>4247999.1882201806</c:v>
                </c:pt>
                <c:pt idx="8">
                  <c:v>4234714.4158123452</c:v>
                </c:pt>
                <c:pt idx="9">
                  <c:v>4221526.2268329319</c:v>
                </c:pt>
                <c:pt idx="10">
                  <c:v>4202483.7110574394</c:v>
                </c:pt>
                <c:pt idx="11">
                  <c:v>4208833.928702483</c:v>
                </c:pt>
                <c:pt idx="12">
                  <c:v>4215279.8240507934</c:v>
                </c:pt>
                <c:pt idx="13">
                  <c:v>4196534.4690609183</c:v>
                </c:pt>
                <c:pt idx="14">
                  <c:v>4177891.8753364668</c:v>
                </c:pt>
                <c:pt idx="15">
                  <c:v>4159353.070314765</c:v>
                </c:pt>
                <c:pt idx="16">
                  <c:v>4140919.0917075332</c:v>
                </c:pt>
                <c:pt idx="17">
                  <c:v>4122590.9876036206</c:v>
                </c:pt>
                <c:pt idx="18">
                  <c:v>4104369.8165727872</c:v>
                </c:pt>
                <c:pt idx="19">
                  <c:v>4086256.647770504</c:v>
                </c:pt>
                <c:pt idx="20">
                  <c:v>4068252.5610438185</c:v>
                </c:pt>
                <c:pt idx="21">
                  <c:v>4050358.6470382637</c:v>
                </c:pt>
                <c:pt idx="22">
                  <c:v>4032576.0073058456</c:v>
                </c:pt>
                <c:pt idx="23">
                  <c:v>4014905.754414109</c:v>
                </c:pt>
                <c:pt idx="24">
                  <c:v>3997349.0120562892</c:v>
                </c:pt>
              </c:numCache>
            </c:numRef>
          </c:val>
          <c:extLst>
            <c:ext xmlns:c16="http://schemas.microsoft.com/office/drawing/2014/chart" uri="{C3380CC4-5D6E-409C-BE32-E72D297353CC}">
              <c16:uniqueId val="{00000000-2755-47C7-8204-92E0CADC0125}"/>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B1_Berechnungen!$AL$41</c:f>
              <c:strCache>
                <c:ptCount val="1"/>
                <c:pt idx="0">
                  <c:v>Kumulierter Cashflow</c:v>
                </c:pt>
              </c:strCache>
              <c:extLst xmlns:c15="http://schemas.microsoft.com/office/drawing/2012/chart"/>
            </c:strRef>
          </c:tx>
          <c:spPr>
            <a:ln w="25400">
              <a:solidFill>
                <a:schemeClr val="accent2">
                  <a:lumMod val="75000"/>
                </a:schemeClr>
              </a:solidFill>
              <a:prstDash val="solid"/>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B1_Berechnungen!$AL$44:$AL$68</c:f>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-311900</c:v>
                      </c:pt>
                      <c:pt idx="1">
                        <c:v>-743950</c:v>
                      </c:pt>
                      <c:pt idx="2">
                        <c:v>-966306.09626896656</c:v>
                      </c:pt>
                      <c:pt idx="3">
                        <c:v>-1005818.939245726</c:v>
                      </c:pt>
                      <c:pt idx="4">
                        <c:v>-191636.309619796</c:v>
                      </c:pt>
                      <c:pt idx="5">
                        <c:v>297136.7450899398</c:v>
                      </c:pt>
                      <c:pt idx="6">
                        <c:v>582106.357677388</c:v>
                      </c:pt>
                      <c:pt idx="7">
                        <c:v>803607.49564344157</c:v>
                      </c:pt>
                      <c:pt idx="8">
                        <c:v>857370.01940221339</c:v>
                      </c:pt>
                      <c:pt idx="9">
                        <c:v>911410.38223456964</c:v>
                      </c:pt>
                      <c:pt idx="10">
                        <c:v>953467.95161718503</c:v>
                      </c:pt>
                      <c:pt idx="11">
                        <c:v>1051366.9619515119</c:v>
                      </c:pt>
                      <c:pt idx="12">
                        <c:v>1150116.4093252076</c:v>
                      </c:pt>
                      <c:pt idx="13">
                        <c:v>1193301.1785348589</c:v>
                      </c:pt>
                      <c:pt idx="14">
                        <c:v>1236630.7013957966</c:v>
                      </c:pt>
                      <c:pt idx="15">
                        <c:v>1280106.425307787</c:v>
                      </c:pt>
                      <c:pt idx="16">
                        <c:v>1323729.8121446036</c:v>
                      </c:pt>
                      <c:pt idx="17">
                        <c:v>1367502.3383987704</c:v>
                      </c:pt>
                      <c:pt idx="18">
                        <c:v>1407132.9898512214</c:v>
                      </c:pt>
                      <c:pt idx="19">
                        <c:v>1451208.2836250765</c:v>
                      </c:pt>
                      <c:pt idx="20">
                        <c:v>1495437.23547557</c:v>
                      </c:pt>
                      <c:pt idx="21">
                        <c:v>1539821.3818467958</c:v>
                      </c:pt>
                      <c:pt idx="22">
                        <c:v>1584362.2745473152</c:v>
                      </c:pt>
                      <c:pt idx="23">
                        <c:v>1455826.1160232406</c:v>
                      </c:pt>
                      <c:pt idx="24">
                        <c:v>1500685.2190355761</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(Rendite)</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311900</c:v>
                </c:pt>
                <c:pt idx="1">
                  <c:v>743950</c:v>
                </c:pt>
                <c:pt idx="2">
                  <c:v>2144631.8757285741</c:v>
                </c:pt>
                <c:pt idx="3">
                  <c:v>2742737.1249623434</c:v>
                </c:pt>
                <c:pt idx="4">
                  <c:v>3041579.5599606298</c:v>
                </c:pt>
                <c:pt idx="5">
                  <c:v>3180110.0344879013</c:v>
                </c:pt>
                <c:pt idx="6">
                  <c:v>3220698.951336436</c:v>
                </c:pt>
                <c:pt idx="7">
                  <c:v>3286460.7266817186</c:v>
                </c:pt>
                <c:pt idx="8">
                  <c:v>3273175.9542738833</c:v>
                </c:pt>
                <c:pt idx="9">
                  <c:v>3259987.7652944699</c:v>
                </c:pt>
                <c:pt idx="10">
                  <c:v>3240945.2495189779</c:v>
                </c:pt>
                <c:pt idx="11">
                  <c:v>3247295.4671640219</c:v>
                </c:pt>
                <c:pt idx="12">
                  <c:v>3253741.3625123324</c:v>
                </c:pt>
                <c:pt idx="13">
                  <c:v>3234996.0075224563</c:v>
                </c:pt>
                <c:pt idx="14">
                  <c:v>3216353.4137980053</c:v>
                </c:pt>
                <c:pt idx="15">
                  <c:v>3197814.6087763035</c:v>
                </c:pt>
                <c:pt idx="16">
                  <c:v>3179380.6301690717</c:v>
                </c:pt>
                <c:pt idx="17">
                  <c:v>3161052.5260651591</c:v>
                </c:pt>
                <c:pt idx="18">
                  <c:v>3142831.3550343257</c:v>
                </c:pt>
                <c:pt idx="19">
                  <c:v>3124718.1862320425</c:v>
                </c:pt>
                <c:pt idx="20">
                  <c:v>3106714.099505357</c:v>
                </c:pt>
                <c:pt idx="21">
                  <c:v>3088820.1854998022</c:v>
                </c:pt>
                <c:pt idx="22">
                  <c:v>3071037.5457673841</c:v>
                </c:pt>
                <c:pt idx="23">
                  <c:v>3053367.2928756475</c:v>
                </c:pt>
                <c:pt idx="24">
                  <c:v>3035810.5505178277</c:v>
                </c:pt>
              </c:numCache>
            </c:numRef>
          </c:val>
          <c:extLst>
            <c:ext xmlns:c16="http://schemas.microsoft.com/office/drawing/2014/chart" uri="{C3380CC4-5D6E-409C-BE32-E72D297353CC}">
              <c16:uniqueId val="{00000000-5C96-408C-8AB3-08F7176191C0}"/>
            </c:ext>
          </c:extLst>
        </c:ser>
        <c:ser>
          <c:idx val="6"/>
          <c:order val="1"/>
          <c:tx>
            <c:strRef>
              <c:f>B1_Berechnungen!$AN$41</c:f>
              <c:strCache>
                <c:ptCount val="1"/>
                <c:pt idx="0">
                  <c:v>Gesamt-aufwand inkl. Abschreibungen</c:v>
                </c:pt>
              </c:strCache>
            </c:strRef>
          </c:tx>
          <c:spPr>
            <a:solidFill>
              <a:srgbClr val="FF0000"/>
            </a:solidFill>
            <a:ln>
              <a:noFill/>
            </a:ln>
          </c:spPr>
          <c:invertIfNegative val="0"/>
          <c:val>
            <c:numRef>
              <c:f>B1_Berechnungen!$AN$44:$AN$68</c:f>
              <c:numCache>
                <c:formatCode>#,##0</c:formatCode>
                <c:ptCount val="25"/>
                <c:pt idx="0">
                  <c:v>311900</c:v>
                </c:pt>
                <c:pt idx="1">
                  <c:v>743950</c:v>
                </c:pt>
                <c:pt idx="2">
                  <c:v>2144631.8757285741</c:v>
                </c:pt>
                <c:pt idx="3">
                  <c:v>3903595.2903143736</c:v>
                </c:pt>
                <c:pt idx="4">
                  <c:v>4202437.7253126604</c:v>
                </c:pt>
                <c:pt idx="5">
                  <c:v>4340968.1998399319</c:v>
                </c:pt>
                <c:pt idx="6">
                  <c:v>4381557.1166884666</c:v>
                </c:pt>
                <c:pt idx="7">
                  <c:v>4447318.8920337493</c:v>
                </c:pt>
                <c:pt idx="8">
                  <c:v>4434034.1196259139</c:v>
                </c:pt>
                <c:pt idx="9">
                  <c:v>4420845.9306465006</c:v>
                </c:pt>
                <c:pt idx="10">
                  <c:v>4401803.4148710081</c:v>
                </c:pt>
                <c:pt idx="11">
                  <c:v>4408153.6325160526</c:v>
                </c:pt>
                <c:pt idx="12">
                  <c:v>4414599.527864363</c:v>
                </c:pt>
                <c:pt idx="13">
                  <c:v>4395854.172874487</c:v>
                </c:pt>
                <c:pt idx="14">
                  <c:v>4377211.579150036</c:v>
                </c:pt>
                <c:pt idx="15">
                  <c:v>4358672.7741283337</c:v>
                </c:pt>
                <c:pt idx="16">
                  <c:v>4340238.7955211019</c:v>
                </c:pt>
                <c:pt idx="17">
                  <c:v>4321910.6914171893</c:v>
                </c:pt>
                <c:pt idx="18">
                  <c:v>4307982.0258628894</c:v>
                </c:pt>
                <c:pt idx="19">
                  <c:v>4289868.8570606057</c:v>
                </c:pt>
                <c:pt idx="20">
                  <c:v>4271864.7703339206</c:v>
                </c:pt>
                <c:pt idx="21">
                  <c:v>4253970.8563283663</c:v>
                </c:pt>
                <c:pt idx="22">
                  <c:v>4236188.2165959477</c:v>
                </c:pt>
                <c:pt idx="23">
                  <c:v>4391753.3285847418</c:v>
                </c:pt>
                <c:pt idx="24">
                  <c:v>4374196.5862269215</c:v>
                </c:pt>
              </c:numCache>
            </c:numRef>
          </c:val>
          <c:extLst>
            <c:ext xmlns:c16="http://schemas.microsoft.com/office/drawing/2014/chart" uri="{C3380CC4-5D6E-409C-BE32-E72D297353CC}">
              <c16:uniqueId val="{00000006-5C96-408C-8AB3-08F7176191C0}"/>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B1_Berechnungen!$AP$41</c:f>
              <c:strCache>
                <c:ptCount val="1"/>
                <c:pt idx="0">
                  <c:v>Kumulierter Gewinn / Verlust</c:v>
                </c:pt>
              </c:strCache>
            </c:strRef>
          </c:tx>
          <c:spPr>
            <a:ln>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-311900</c:v>
                      </c:pt>
                      <c:pt idx="1">
                        <c:v>-743950</c:v>
                      </c:pt>
                      <c:pt idx="2">
                        <c:v>-966306.09626896656</c:v>
                      </c:pt>
                      <c:pt idx="3">
                        <c:v>-594960.77389369579</c:v>
                      </c:pt>
                      <c:pt idx="4">
                        <c:v>-742316.60580622731</c:v>
                      </c:pt>
                      <c:pt idx="5">
                        <c:v>-253543.55109649152</c:v>
                      </c:pt>
                      <c:pt idx="6">
                        <c:v>31426.061490956694</c:v>
                      </c:pt>
                      <c:pt idx="7">
                        <c:v>1002927.1994570103</c:v>
                      </c:pt>
                      <c:pt idx="8">
                        <c:v>1056689.7232157821</c:v>
                      </c:pt>
                      <c:pt idx="9">
                        <c:v>1110730.0860481383</c:v>
                      </c:pt>
                      <c:pt idx="10">
                        <c:v>1152787.6554307537</c:v>
                      </c:pt>
                      <c:pt idx="11">
                        <c:v>1250686.6657650815</c:v>
                      </c:pt>
                      <c:pt idx="12">
                        <c:v>1349436.1131387772</c:v>
                      </c:pt>
                      <c:pt idx="13">
                        <c:v>1392620.8823484275</c:v>
                      </c:pt>
                      <c:pt idx="14">
                        <c:v>1435950.4052093658</c:v>
                      </c:pt>
                      <c:pt idx="15">
                        <c:v>1479426.1291213557</c:v>
                      </c:pt>
                      <c:pt idx="16">
                        <c:v>1523049.5159581723</c:v>
                      </c:pt>
                      <c:pt idx="17">
                        <c:v>1566822.0422123391</c:v>
                      </c:pt>
                      <c:pt idx="18">
                        <c:v>1610745.1991413236</c:v>
                      </c:pt>
                      <c:pt idx="19">
                        <c:v>1654820.4929151782</c:v>
                      </c:pt>
                      <c:pt idx="20">
                        <c:v>1699049.4447656721</c:v>
                      </c:pt>
                      <c:pt idx="21">
                        <c:v>1743433.5911368984</c:v>
                      </c:pt>
                      <c:pt idx="22">
                        <c:v>1787974.4838374173</c:v>
                      </c:pt>
                      <c:pt idx="23">
                        <c:v>1832673.6901938734</c:v>
                      </c:pt>
                      <c:pt idx="24">
                        <c:v>1877532.7932062084</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-311900</c:v>
                      </c:pt>
                      <c:pt idx="1">
                        <c:v>-743950</c:v>
                      </c:pt>
                      <c:pt idx="2">
                        <c:v>-966306.09626896656</c:v>
                      </c:pt>
                      <c:pt idx="3">
                        <c:v>-1005818.939245726</c:v>
                      </c:pt>
                      <c:pt idx="4">
                        <c:v>-191636.309619796</c:v>
                      </c:pt>
                      <c:pt idx="5">
                        <c:v>297136.7450899398</c:v>
                      </c:pt>
                      <c:pt idx="6">
                        <c:v>582106.357677388</c:v>
                      </c:pt>
                      <c:pt idx="7">
                        <c:v>803607.49564344157</c:v>
                      </c:pt>
                      <c:pt idx="8">
                        <c:v>857370.01940221339</c:v>
                      </c:pt>
                      <c:pt idx="9">
                        <c:v>911410.38223456964</c:v>
                      </c:pt>
                      <c:pt idx="10">
                        <c:v>953467.95161718503</c:v>
                      </c:pt>
                      <c:pt idx="11">
                        <c:v>1051366.9619515119</c:v>
                      </c:pt>
                      <c:pt idx="12">
                        <c:v>1150116.4093252076</c:v>
                      </c:pt>
                      <c:pt idx="13">
                        <c:v>1193301.1785348589</c:v>
                      </c:pt>
                      <c:pt idx="14">
                        <c:v>1236630.7013957966</c:v>
                      </c:pt>
                      <c:pt idx="15">
                        <c:v>1280106.425307787</c:v>
                      </c:pt>
                      <c:pt idx="16">
                        <c:v>1323729.8121446036</c:v>
                      </c:pt>
                      <c:pt idx="17">
                        <c:v>1367502.3383987704</c:v>
                      </c:pt>
                      <c:pt idx="18">
                        <c:v>1407132.9898512214</c:v>
                      </c:pt>
                      <c:pt idx="19">
                        <c:v>1451208.2836250765</c:v>
                      </c:pt>
                      <c:pt idx="20">
                        <c:v>1495437.23547557</c:v>
                      </c:pt>
                      <c:pt idx="21">
                        <c:v>1539821.3818467958</c:v>
                      </c:pt>
                      <c:pt idx="22">
                        <c:v>1584362.2745473152</c:v>
                      </c:pt>
                      <c:pt idx="23">
                        <c:v>1455826.1160232406</c:v>
                      </c:pt>
                      <c:pt idx="24">
                        <c:v>1500685.2190355761</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B1_Berechnungen!$C$41</c:f>
              <c:strCache>
                <c:ptCount val="1"/>
                <c:pt idx="0">
                  <c:v>Wärmebedarf inkl. Netzverluste</c:v>
                </c:pt>
              </c:strCache>
            </c:strRef>
          </c:tx>
          <c:spPr>
            <a:solidFill>
              <a:schemeClr val="accent1">
                <a:lumMod val="40000"/>
                <a:lumOff val="60000"/>
              </a:schemeClr>
            </a:solidFill>
            <a:ln>
              <a:solidFill>
                <a:schemeClr val="accent1"/>
              </a:solidFill>
            </a:ln>
            <a:effectLst/>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B1_Berechnungen!$C$44:$C$68</c:f>
              <c:numCache>
                <c:formatCode>#,##0</c:formatCode>
                <c:ptCount val="25"/>
                <c:pt idx="0">
                  <c:v>0</c:v>
                </c:pt>
                <c:pt idx="1">
                  <c:v>0</c:v>
                </c:pt>
                <c:pt idx="2">
                  <c:v>4212.7964999999995</c:v>
                </c:pt>
                <c:pt idx="3">
                  <c:v>10217.787525</c:v>
                </c:pt>
                <c:pt idx="4">
                  <c:v>13942.5174207</c:v>
                </c:pt>
                <c:pt idx="5">
                  <c:v>15884.703800162997</c:v>
                </c:pt>
                <c:pt idx="6">
                  <c:v>16753.639258590792</c:v>
                </c:pt>
                <c:pt idx="7">
                  <c:v>17474.154016927379</c:v>
                </c:pt>
                <c:pt idx="8">
                  <c:v>17360.928789719965</c:v>
                </c:pt>
                <c:pt idx="9">
                  <c:v>17248.220651655007</c:v>
                </c:pt>
                <c:pt idx="10">
                  <c:v>17075.738445138457</c:v>
                </c:pt>
                <c:pt idx="11">
                  <c:v>17158.660232727045</c:v>
                </c:pt>
                <c:pt idx="12">
                  <c:v>17238.216010719341</c:v>
                </c:pt>
                <c:pt idx="13">
                  <c:v>17065.833850612147</c:v>
                </c:pt>
                <c:pt idx="14">
                  <c:v>16895.175512106027</c:v>
                </c:pt>
                <c:pt idx="15">
                  <c:v>16726.223756984968</c:v>
                </c:pt>
                <c:pt idx="16">
                  <c:v>16558.961519415116</c:v>
                </c:pt>
                <c:pt idx="17">
                  <c:v>16393.371904220963</c:v>
                </c:pt>
                <c:pt idx="18">
                  <c:v>16229.438185178755</c:v>
                </c:pt>
                <c:pt idx="19">
                  <c:v>16067.143803326966</c:v>
                </c:pt>
                <c:pt idx="20">
                  <c:v>15906.472365293697</c:v>
                </c:pt>
                <c:pt idx="21">
                  <c:v>15747.407641640761</c:v>
                </c:pt>
                <c:pt idx="22">
                  <c:v>15589.93356522435</c:v>
                </c:pt>
                <c:pt idx="23">
                  <c:v>15434.034229572109</c:v>
                </c:pt>
                <c:pt idx="24">
                  <c:v>15279.693887276386</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t>Wärmebedarf [MWh/a]</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9474635342713301"/>
          <c:y val="0.88238263104141301"/>
          <c:w val="0.41050710191280698"/>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B1_Berechnungen!$AN$41</c:f>
              <c:strCache>
                <c:ptCount val="1"/>
                <c:pt idx="0">
                  <c:v>Gesamt-aufwand inkl. Abschreibungen</c:v>
                </c:pt>
              </c:strCache>
            </c:strRef>
          </c:tx>
          <c:spPr>
            <a:solidFill>
              <a:schemeClr val="accent1"/>
            </a:solidFill>
            <a:ln w="12700">
              <a:solidFill>
                <a:schemeClr val="accent1"/>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B1_Berechnungen!$AN$44:$AN$68</c:f>
              <c:numCache>
                <c:formatCode>#,##0</c:formatCode>
                <c:ptCount val="25"/>
                <c:pt idx="0">
                  <c:v>311900</c:v>
                </c:pt>
                <c:pt idx="1">
                  <c:v>743950</c:v>
                </c:pt>
                <c:pt idx="2">
                  <c:v>2144631.8757285741</c:v>
                </c:pt>
                <c:pt idx="3">
                  <c:v>3903595.2903143736</c:v>
                </c:pt>
                <c:pt idx="4">
                  <c:v>4202437.7253126604</c:v>
                </c:pt>
                <c:pt idx="5">
                  <c:v>4340968.1998399319</c:v>
                </c:pt>
                <c:pt idx="6">
                  <c:v>4381557.1166884666</c:v>
                </c:pt>
                <c:pt idx="7">
                  <c:v>4447318.8920337493</c:v>
                </c:pt>
                <c:pt idx="8">
                  <c:v>4434034.1196259139</c:v>
                </c:pt>
                <c:pt idx="9">
                  <c:v>4420845.9306465006</c:v>
                </c:pt>
                <c:pt idx="10">
                  <c:v>4401803.4148710081</c:v>
                </c:pt>
                <c:pt idx="11">
                  <c:v>4408153.6325160526</c:v>
                </c:pt>
                <c:pt idx="12">
                  <c:v>4414599.527864363</c:v>
                </c:pt>
                <c:pt idx="13">
                  <c:v>4395854.172874487</c:v>
                </c:pt>
                <c:pt idx="14">
                  <c:v>4377211.579150036</c:v>
                </c:pt>
                <c:pt idx="15">
                  <c:v>4358672.7741283337</c:v>
                </c:pt>
                <c:pt idx="16">
                  <c:v>4340238.7955211019</c:v>
                </c:pt>
                <c:pt idx="17">
                  <c:v>4321910.6914171893</c:v>
                </c:pt>
                <c:pt idx="18">
                  <c:v>4307982.0258628894</c:v>
                </c:pt>
                <c:pt idx="19">
                  <c:v>4289868.8570606057</c:v>
                </c:pt>
                <c:pt idx="20">
                  <c:v>4271864.7703339206</c:v>
                </c:pt>
                <c:pt idx="21">
                  <c:v>4253970.8563283663</c:v>
                </c:pt>
                <c:pt idx="22">
                  <c:v>4236188.2165959477</c:v>
                </c:pt>
                <c:pt idx="23">
                  <c:v>4391753.3285847418</c:v>
                </c:pt>
                <c:pt idx="24">
                  <c:v>4374196.5862269215</c:v>
                </c:pt>
              </c:numCache>
            </c:numRef>
          </c:val>
          <c:extLst>
            <c:ext xmlns:c16="http://schemas.microsoft.com/office/drawing/2014/chart" uri="{C3380CC4-5D6E-409C-BE32-E72D297353CC}">
              <c16:uniqueId val="{00000000-53BE-433E-829B-32533F4DBF6D}"/>
            </c:ext>
          </c:extLst>
        </c:ser>
        <c:ser>
          <c:idx val="2"/>
          <c:order val="1"/>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1178325.7794596076</c:v>
                </c:pt>
                <c:pt idx="3">
                  <c:v>2897776.3510686476</c:v>
                </c:pt>
                <c:pt idx="4">
                  <c:v>4010801.4156928645</c:v>
                </c:pt>
                <c:pt idx="5">
                  <c:v>4638104.9449298717</c:v>
                </c:pt>
                <c:pt idx="6">
                  <c:v>4963663.4743658546</c:v>
                </c:pt>
                <c:pt idx="7">
                  <c:v>5250926.3876771908</c:v>
                </c:pt>
                <c:pt idx="8">
                  <c:v>5291404.1390281273</c:v>
                </c:pt>
                <c:pt idx="9">
                  <c:v>5332256.3128810702</c:v>
                </c:pt>
                <c:pt idx="10">
                  <c:v>5355271.3664881932</c:v>
                </c:pt>
                <c:pt idx="11">
                  <c:v>5459520.5944675645</c:v>
                </c:pt>
                <c:pt idx="12">
                  <c:v>5564715.9371895706</c:v>
                </c:pt>
                <c:pt idx="13">
                  <c:v>5589155.3514093459</c:v>
                </c:pt>
                <c:pt idx="14">
                  <c:v>5613842.2805458326</c:v>
                </c:pt>
                <c:pt idx="15">
                  <c:v>5638779.1994361207</c:v>
                </c:pt>
                <c:pt idx="16">
                  <c:v>5663968.6076657055</c:v>
                </c:pt>
                <c:pt idx="17">
                  <c:v>5689413.0298159597</c:v>
                </c:pt>
                <c:pt idx="18">
                  <c:v>5715115.0157141108</c:v>
                </c:pt>
                <c:pt idx="19">
                  <c:v>5741077.1406856822</c:v>
                </c:pt>
                <c:pt idx="20">
                  <c:v>5767302.0058094906</c:v>
                </c:pt>
                <c:pt idx="21">
                  <c:v>5793792.2381751621</c:v>
                </c:pt>
                <c:pt idx="22">
                  <c:v>5820550.4911432629</c:v>
                </c:pt>
                <c:pt idx="23">
                  <c:v>5847579.4446079824</c:v>
                </c:pt>
                <c:pt idx="24">
                  <c:v>5874881.8052624976</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B1_Berechnungen!$AP$41</c:f>
              <c:strCache>
                <c:ptCount val="1"/>
                <c:pt idx="0">
                  <c:v>Kumulierter Gewinn / Verlust</c:v>
                </c:pt>
              </c:strCache>
            </c:strRef>
          </c:tx>
          <c:spPr>
            <a:ln w="19050">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-311900</c:v>
                </c:pt>
                <c:pt idx="1">
                  <c:v>-1055850</c:v>
                </c:pt>
                <c:pt idx="2">
                  <c:v>-2022156.0962689666</c:v>
                </c:pt>
                <c:pt idx="3">
                  <c:v>-3027975.0355146928</c:v>
                </c:pt>
                <c:pt idx="4">
                  <c:v>-3219611.3451344888</c:v>
                </c:pt>
                <c:pt idx="5">
                  <c:v>-2922474.600044549</c:v>
                </c:pt>
                <c:pt idx="6">
                  <c:v>-2340368.242367161</c:v>
                </c:pt>
                <c:pt idx="7">
                  <c:v>-1536760.7467237194</c:v>
                </c:pt>
                <c:pt idx="8">
                  <c:v>-679390.72732150601</c:v>
                </c:pt>
                <c:pt idx="9">
                  <c:v>232019.65491306363</c:v>
                </c:pt>
                <c:pt idx="10">
                  <c:v>1185487.6065302487</c:v>
                </c:pt>
                <c:pt idx="11">
                  <c:v>2236854.5684817606</c:v>
                </c:pt>
                <c:pt idx="12">
                  <c:v>3386970.9778069681</c:v>
                </c:pt>
                <c:pt idx="13">
                  <c:v>4580272.1563418265</c:v>
                </c:pt>
                <c:pt idx="14">
                  <c:v>5816902.8577376232</c:v>
                </c:pt>
                <c:pt idx="15">
                  <c:v>7097009.2830454102</c:v>
                </c:pt>
                <c:pt idx="16">
                  <c:v>8420739.0951900147</c:v>
                </c:pt>
                <c:pt idx="17">
                  <c:v>9788241.4335887842</c:v>
                </c:pt>
                <c:pt idx="18">
                  <c:v>11195374.423440006</c:v>
                </c:pt>
                <c:pt idx="19">
                  <c:v>12646582.707065083</c:v>
                </c:pt>
                <c:pt idx="20">
                  <c:v>14142019.942540653</c:v>
                </c:pt>
                <c:pt idx="21">
                  <c:v>15681841.32438745</c:v>
                </c:pt>
                <c:pt idx="22">
                  <c:v>17266203.598934766</c:v>
                </c:pt>
                <c:pt idx="23">
                  <c:v>18722029.714958005</c:v>
                </c:pt>
                <c:pt idx="24">
                  <c:v>20222714.933993582</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-2730000</c:v>
                </c:pt>
                <c:pt idx="1">
                  <c:v>-17055000</c:v>
                </c:pt>
                <c:pt idx="2">
                  <c:v>-28000000</c:v>
                </c:pt>
                <c:pt idx="3">
                  <c:v>-27250000</c:v>
                </c:pt>
                <c:pt idx="4">
                  <c:v>-25538461.53846154</c:v>
                </c:pt>
                <c:pt idx="5">
                  <c:v>-23826923.07692308</c:v>
                </c:pt>
                <c:pt idx="6">
                  <c:v>-22115384.61538462</c:v>
                </c:pt>
                <c:pt idx="7">
                  <c:v>-21153846.15384616</c:v>
                </c:pt>
                <c:pt idx="8">
                  <c:v>-20192307.692307699</c:v>
                </c:pt>
                <c:pt idx="9">
                  <c:v>-19230769.230769239</c:v>
                </c:pt>
                <c:pt idx="10">
                  <c:v>-18269230.769230779</c:v>
                </c:pt>
                <c:pt idx="11">
                  <c:v>-17307692.307692319</c:v>
                </c:pt>
                <c:pt idx="12">
                  <c:v>-16346153.846153857</c:v>
                </c:pt>
                <c:pt idx="13">
                  <c:v>-15384615.384615395</c:v>
                </c:pt>
                <c:pt idx="14">
                  <c:v>-14423076.923076933</c:v>
                </c:pt>
                <c:pt idx="15">
                  <c:v>-13461538.461538471</c:v>
                </c:pt>
                <c:pt idx="16">
                  <c:v>-12500000.000000009</c:v>
                </c:pt>
                <c:pt idx="17">
                  <c:v>-11538461.538461547</c:v>
                </c:pt>
                <c:pt idx="18">
                  <c:v>-10576923.076923085</c:v>
                </c:pt>
                <c:pt idx="19">
                  <c:v>-9615384.6153846234</c:v>
                </c:pt>
                <c:pt idx="20">
                  <c:v>-8653846.1538461614</c:v>
                </c:pt>
                <c:pt idx="21">
                  <c:v>-7692307.6923076995</c:v>
                </c:pt>
                <c:pt idx="22">
                  <c:v>-6730769.2307692375</c:v>
                </c:pt>
                <c:pt idx="23">
                  <c:v>-5769230.7692307755</c:v>
                </c:pt>
                <c:pt idx="24">
                  <c:v>-4807692.3076923136</c:v>
                </c:pt>
              </c:numCache>
            </c:numRef>
          </c:val>
          <c:extLst>
            <c:ext xmlns:c16="http://schemas.microsoft.com/office/drawing/2014/chart" uri="{C3380CC4-5D6E-409C-BE32-E72D297353CC}">
              <c16:uniqueId val="{00000000-9DD1-4CC9-A52B-7F4ED61E9DD0}"/>
            </c:ext>
          </c:extLst>
        </c:ser>
        <c:ser>
          <c:idx val="5"/>
          <c:order val="1"/>
          <c:tx>
            <c:strRef>
              <c:f>B1_Berechnungen!$AQ$41</c:f>
              <c:strCache>
                <c:ptCount val="1"/>
                <c:pt idx="0">
                  <c:v>Restwert der Anlagen</c:v>
                </c:pt>
              </c:strCache>
            </c:strRef>
          </c:tx>
          <c:spPr>
            <a:solidFill>
              <a:schemeClr val="accent6">
                <a:lumMod val="60000"/>
                <a:lumOff val="4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6130000</c:v>
                </c:pt>
                <c:pt idx="1">
                  <c:v>15325000</c:v>
                </c:pt>
                <c:pt idx="2">
                  <c:v>27585000</c:v>
                </c:pt>
                <c:pt idx="3">
                  <c:v>29489141.834647968</c:v>
                </c:pt>
                <c:pt idx="4">
                  <c:v>28328283.669295937</c:v>
                </c:pt>
                <c:pt idx="5">
                  <c:v>27167425.503943905</c:v>
                </c:pt>
                <c:pt idx="6">
                  <c:v>26006567.338591874</c:v>
                </c:pt>
                <c:pt idx="7">
                  <c:v>24845709.173239842</c:v>
                </c:pt>
                <c:pt idx="8">
                  <c:v>23684851.00788781</c:v>
                </c:pt>
                <c:pt idx="9">
                  <c:v>22523992.842535779</c:v>
                </c:pt>
                <c:pt idx="10">
                  <c:v>21363134.677183747</c:v>
                </c:pt>
                <c:pt idx="11">
                  <c:v>20202276.511831716</c:v>
                </c:pt>
                <c:pt idx="12">
                  <c:v>19041418.346479684</c:v>
                </c:pt>
                <c:pt idx="13">
                  <c:v>17880560.181127653</c:v>
                </c:pt>
                <c:pt idx="14">
                  <c:v>16719702.015775623</c:v>
                </c:pt>
                <c:pt idx="15">
                  <c:v>15558843.850423593</c:v>
                </c:pt>
                <c:pt idx="16">
                  <c:v>14397985.685071563</c:v>
                </c:pt>
                <c:pt idx="17">
                  <c:v>13237127.519719534</c:v>
                </c:pt>
                <c:pt idx="18">
                  <c:v>12536364.43103897</c:v>
                </c:pt>
                <c:pt idx="19">
                  <c:v>11371213.760210406</c:v>
                </c:pt>
                <c:pt idx="20">
                  <c:v>10206063.089381842</c:v>
                </c:pt>
                <c:pt idx="21">
                  <c:v>9040912.4185532779</c:v>
                </c:pt>
                <c:pt idx="22">
                  <c:v>7875761.7477247138</c:v>
                </c:pt>
                <c:pt idx="23">
                  <c:v>17824133.581534315</c:v>
                </c:pt>
                <c:pt idx="24">
                  <c:v>16485747.545825221</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B1_Berechnungen!$AL$41</c15:sqref>
                        </c15:formulaRef>
                      </c:ext>
                    </c:extLst>
                    <c:strCache>
                      <c:ptCount val="1"/>
                      <c:pt idx="0">
                        <c:v>Kumulierter Cashflow</c:v>
                      </c:pt>
                    </c:strCache>
                  </c:strRef>
                </c:tx>
                <c:spPr>
                  <a:ln w="19050">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B1_Berechnungen!$AL$44:$AL$68</c15:sqref>
                        </c15:formulaRef>
                      </c:ext>
                    </c:extLst>
                    <c:numCache>
                      <c:formatCode>#,##0</c:formatCode>
                      <c:ptCount val="25"/>
                      <c:pt idx="0">
                        <c:v>-311900</c:v>
                      </c:pt>
                      <c:pt idx="1">
                        <c:v>-1055850</c:v>
                      </c:pt>
                      <c:pt idx="2">
                        <c:v>-2022156.0962689666</c:v>
                      </c:pt>
                      <c:pt idx="3">
                        <c:v>-2617116.8701626621</c:v>
                      </c:pt>
                      <c:pt idx="4">
                        <c:v>-3359433.4759688894</c:v>
                      </c:pt>
                      <c:pt idx="5">
                        <c:v>-3612977.0270653809</c:v>
                      </c:pt>
                      <c:pt idx="6">
                        <c:v>-3581550.9655744242</c:v>
                      </c:pt>
                      <c:pt idx="7">
                        <c:v>-2578623.766117414</c:v>
                      </c:pt>
                      <c:pt idx="8">
                        <c:v>-1521934.0429016319</c:v>
                      </c:pt>
                      <c:pt idx="9">
                        <c:v>-411203.95685349358</c:v>
                      </c:pt>
                      <c:pt idx="10">
                        <c:v>741583.69857726013</c:v>
                      </c:pt>
                      <c:pt idx="11">
                        <c:v>1992270.3643423417</c:v>
                      </c:pt>
                      <c:pt idx="12">
                        <c:v>3341706.4774811189</c:v>
                      </c:pt>
                      <c:pt idx="13">
                        <c:v>4734327.3598295469</c:v>
                      </c:pt>
                      <c:pt idx="14">
                        <c:v>6170277.7650389131</c:v>
                      </c:pt>
                      <c:pt idx="15">
                        <c:v>7649703.8941602688</c:v>
                      </c:pt>
                      <c:pt idx="16">
                        <c:v>9172753.410118442</c:v>
                      </c:pt>
                      <c:pt idx="17">
                        <c:v>10739575.452330781</c:v>
                      </c:pt>
                      <c:pt idx="18">
                        <c:v>12350320.651472105</c:v>
                      </c:pt>
                      <c:pt idx="19">
                        <c:v>14005141.144387282</c:v>
                      </c:pt>
                      <c:pt idx="20">
                        <c:v>15704190.589152955</c:v>
                      </c:pt>
                      <c:pt idx="21">
                        <c:v>17447624.180289853</c:v>
                      </c:pt>
                      <c:pt idx="22">
                        <c:v>19235598.664127272</c:v>
                      </c:pt>
                      <c:pt idx="23">
                        <c:v>21068272.354321145</c:v>
                      </c:pt>
                      <c:pt idx="24">
                        <c:v>22945805.147527352</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38099</xdr:colOff>
      <xdr:row>43</xdr:row>
      <xdr:rowOff>9526</xdr:rowOff>
    </xdr:from>
    <xdr:to>
      <xdr:col>6</xdr:col>
      <xdr:colOff>533400</xdr:colOff>
      <xdr:row>59</xdr:row>
      <xdr:rowOff>138546</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fokuse-my.sharepoint.com/personal/patrik_kuettel_fokuse_onmicrosoft_com/Documents/#Daten/23_QMH-Entwicklungsprojekte/2016_BFE_QMH_Wirtschaftlichkeitsrechnung/2_Arbeit/Version6/QMH-Wirtschaftlichkeitsrechnung_V6_Entwicklung_20230907.xlsx" TargetMode="External"/><Relationship Id="rId2" Type="http://schemas.microsoft.com/office/2019/04/relationships/externalLinkLongPath" Target="file:///C:\Users\Patrik.DESKTOP-1A89G0K\fokus-e%20gmbh\fokus-e%20gmbh%20-%20General\20_QMH\23_QMH-Entwicklungsprojekte\2016_BFE_QMH_Wirtschaftlichkeitsrechnung\2_Arbeit\Version6\#Daten/23_QMH-Entwicklungsprojekte/2016_BFE_QMH_Wirtschaftlichkeitsrechnung/2_Arbeit/Version6/QMH-Wirtschaftlichkeitsrechnung_V6_Entwicklung_20230907.xlsx?F494D345" TargetMode="External"/><Relationship Id="rId1" Type="http://schemas.openxmlformats.org/officeDocument/2006/relationships/externalLinkPath" Target="file:///\\F494D345\QMH-Wirtschaftlichkeitsrechnung_V6_Entwicklung_202309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1_Erläuterung"/>
      <sheetName val="E1_Projektdaten"/>
      <sheetName val="E2_Wärmepreis"/>
      <sheetName val="E3_Verbraucher"/>
      <sheetName val="B1_Berechnungen"/>
      <sheetName val="A1_Ergebnisse"/>
      <sheetName val="A2_NPV-Daten"/>
      <sheetName val="X1_Änderungen CH"/>
    </sheetNames>
    <sheetDataSet>
      <sheetData sheetId="0"/>
      <sheetData sheetId="1">
        <row r="55">
          <cell r="D55">
            <v>1000</v>
          </cell>
        </row>
      </sheetData>
      <sheetData sheetId="2"/>
      <sheetData sheetId="3" refreshError="1"/>
      <sheetData sheetId="4"/>
      <sheetData sheetId="5" refreshError="1"/>
      <sheetData sheetId="6" refreshError="1"/>
      <sheetData sheetId="7" refreshError="1"/>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Quelle: Bild 5.3 aus Planungshandbuch QM Fernwärme</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O292"/>
  <sheetViews>
    <sheetView tabSelected="1" workbookViewId="0">
      <selection activeCell="B2" sqref="B2"/>
    </sheetView>
  </sheetViews>
  <sheetFormatPr baseColWidth="10" defaultColWidth="0" defaultRowHeight="12.75" zeroHeight="1" x14ac:dyDescent="0.25"/>
  <cols>
    <col min="1" max="1" width="5.7109375" style="282" customWidth="1"/>
    <col min="2" max="2" width="79.7109375" style="179" customWidth="1"/>
    <col min="3" max="16384" width="16.5703125" style="171" hidden="1"/>
  </cols>
  <sheetData>
    <row r="1" spans="1:15" s="168" customFormat="1" ht="36" x14ac:dyDescent="0.25">
      <c r="A1" s="274"/>
      <c r="B1" s="189" t="s">
        <v>305</v>
      </c>
      <c r="H1" s="169"/>
      <c r="I1" s="169"/>
      <c r="J1" s="169"/>
      <c r="K1" s="169"/>
      <c r="L1" s="169"/>
      <c r="M1" s="169"/>
      <c r="N1" s="169"/>
      <c r="O1" s="169"/>
    </row>
    <row r="2" spans="1:15" s="168" customFormat="1" ht="12.95" customHeight="1" x14ac:dyDescent="0.25">
      <c r="A2" s="274"/>
      <c r="B2" s="161" t="s">
        <v>963</v>
      </c>
      <c r="H2" s="169"/>
      <c r="I2" s="169"/>
      <c r="J2" s="169"/>
      <c r="K2" s="169"/>
      <c r="L2" s="169"/>
      <c r="M2" s="169"/>
      <c r="N2" s="169"/>
      <c r="O2" s="169"/>
    </row>
    <row r="3" spans="1:15" x14ac:dyDescent="0.25">
      <c r="A3" s="275"/>
      <c r="B3" s="170" t="s">
        <v>2</v>
      </c>
    </row>
    <row r="4" spans="1:15" ht="357" x14ac:dyDescent="0.25">
      <c r="A4" s="276"/>
      <c r="B4" s="172" t="s">
        <v>276</v>
      </c>
    </row>
    <row r="5" spans="1:15" ht="51" x14ac:dyDescent="0.25">
      <c r="A5" s="276"/>
      <c r="B5" s="172" t="s">
        <v>853</v>
      </c>
    </row>
    <row r="6" spans="1:15" ht="102" x14ac:dyDescent="0.25">
      <c r="A6" s="276"/>
      <c r="B6" s="10" t="s">
        <v>277</v>
      </c>
    </row>
    <row r="7" spans="1:15" ht="38.25" x14ac:dyDescent="0.25">
      <c r="A7" s="277">
        <v>100</v>
      </c>
      <c r="B7" s="172" t="s">
        <v>278</v>
      </c>
    </row>
    <row r="8" spans="1:15" x14ac:dyDescent="0.25">
      <c r="A8" s="277">
        <v>101</v>
      </c>
      <c r="B8" s="10" t="s">
        <v>413</v>
      </c>
    </row>
    <row r="9" spans="1:15" x14ac:dyDescent="0.25">
      <c r="A9" s="277" t="s">
        <v>398</v>
      </c>
      <c r="B9" s="173" t="s">
        <v>134</v>
      </c>
    </row>
    <row r="10" spans="1:15" ht="38.25" x14ac:dyDescent="0.25">
      <c r="A10" s="277" t="s">
        <v>399</v>
      </c>
      <c r="B10" s="190" t="s">
        <v>215</v>
      </c>
    </row>
    <row r="11" spans="1:15" ht="38.25" x14ac:dyDescent="0.25">
      <c r="A11" s="277" t="s">
        <v>400</v>
      </c>
      <c r="B11" s="174" t="s">
        <v>236</v>
      </c>
    </row>
    <row r="12" spans="1:15" ht="51" x14ac:dyDescent="0.25">
      <c r="A12" s="277" t="s">
        <v>401</v>
      </c>
      <c r="B12" s="175" t="s">
        <v>191</v>
      </c>
    </row>
    <row r="13" spans="1:15" ht="38.25" x14ac:dyDescent="0.25">
      <c r="A13" s="277" t="s">
        <v>402</v>
      </c>
      <c r="B13" s="206" t="s">
        <v>375</v>
      </c>
    </row>
    <row r="14" spans="1:15" x14ac:dyDescent="0.25">
      <c r="A14" s="277" t="s">
        <v>414</v>
      </c>
      <c r="B14" s="10" t="s">
        <v>133</v>
      </c>
    </row>
    <row r="15" spans="1:15" ht="25.5" x14ac:dyDescent="0.25">
      <c r="A15" s="277">
        <v>105</v>
      </c>
      <c r="B15" s="10" t="s">
        <v>415</v>
      </c>
    </row>
    <row r="16" spans="1:15" x14ac:dyDescent="0.25">
      <c r="A16" s="277">
        <v>106</v>
      </c>
      <c r="B16" s="10" t="s">
        <v>154</v>
      </c>
    </row>
    <row r="17" spans="1:2" x14ac:dyDescent="0.25">
      <c r="A17" s="277">
        <v>107</v>
      </c>
      <c r="B17" s="10" t="s">
        <v>153</v>
      </c>
    </row>
    <row r="18" spans="1:2" ht="25.5" x14ac:dyDescent="0.25">
      <c r="A18" s="277">
        <v>108</v>
      </c>
      <c r="B18" s="172" t="s">
        <v>279</v>
      </c>
    </row>
    <row r="19" spans="1:2" x14ac:dyDescent="0.25">
      <c r="A19" s="277">
        <v>110</v>
      </c>
      <c r="B19" s="172" t="s">
        <v>789</v>
      </c>
    </row>
    <row r="20" spans="1:2" ht="25.5" x14ac:dyDescent="0.25">
      <c r="A20" s="277" t="s">
        <v>584</v>
      </c>
      <c r="B20" s="10" t="s">
        <v>932</v>
      </c>
    </row>
    <row r="21" spans="1:2" ht="38.25" x14ac:dyDescent="0.25">
      <c r="A21" s="278" t="s">
        <v>585</v>
      </c>
      <c r="B21" s="10" t="s">
        <v>907</v>
      </c>
    </row>
    <row r="22" spans="1:2" ht="51" x14ac:dyDescent="0.25">
      <c r="A22" s="279" t="s">
        <v>586</v>
      </c>
      <c r="B22" s="10" t="s">
        <v>933</v>
      </c>
    </row>
    <row r="23" spans="1:2" x14ac:dyDescent="0.25">
      <c r="A23" s="278" t="s">
        <v>587</v>
      </c>
      <c r="B23" s="10" t="s">
        <v>27</v>
      </c>
    </row>
    <row r="24" spans="1:2" ht="25.5" x14ac:dyDescent="0.25">
      <c r="A24" s="278" t="s">
        <v>588</v>
      </c>
      <c r="B24" s="10" t="s">
        <v>136</v>
      </c>
    </row>
    <row r="25" spans="1:2" x14ac:dyDescent="0.25">
      <c r="A25" s="277">
        <v>115</v>
      </c>
      <c r="B25" s="172" t="s">
        <v>589</v>
      </c>
    </row>
    <row r="26" spans="1:2" ht="349.5" customHeight="1" x14ac:dyDescent="0.25">
      <c r="A26" s="277"/>
      <c r="B26" s="172" t="e" vm="1">
        <v>#VALUE!</v>
      </c>
    </row>
    <row r="27" spans="1:2" ht="38.25" x14ac:dyDescent="0.25">
      <c r="A27" s="277" t="s">
        <v>590</v>
      </c>
      <c r="B27" s="10" t="s">
        <v>909</v>
      </c>
    </row>
    <row r="28" spans="1:2" ht="25.5" x14ac:dyDescent="0.25">
      <c r="A28" s="277" t="s">
        <v>591</v>
      </c>
      <c r="B28" s="10" t="s">
        <v>908</v>
      </c>
    </row>
    <row r="29" spans="1:2" ht="25.5" x14ac:dyDescent="0.25">
      <c r="A29" s="277" t="s">
        <v>592</v>
      </c>
      <c r="B29" s="10" t="s">
        <v>910</v>
      </c>
    </row>
    <row r="30" spans="1:2" ht="25.5" x14ac:dyDescent="0.25">
      <c r="A30" s="277" t="s">
        <v>593</v>
      </c>
      <c r="B30" s="10" t="s">
        <v>911</v>
      </c>
    </row>
    <row r="31" spans="1:2" ht="38.25" x14ac:dyDescent="0.25">
      <c r="A31" s="277" t="s">
        <v>594</v>
      </c>
      <c r="B31" s="10" t="s">
        <v>912</v>
      </c>
    </row>
    <row r="32" spans="1:2" x14ac:dyDescent="0.25">
      <c r="A32" s="277" t="s">
        <v>595</v>
      </c>
      <c r="B32" s="10" t="s">
        <v>913</v>
      </c>
    </row>
    <row r="33" spans="1:2" ht="25.5" x14ac:dyDescent="0.25">
      <c r="A33" s="277" t="s">
        <v>596</v>
      </c>
      <c r="B33" s="10" t="s">
        <v>914</v>
      </c>
    </row>
    <row r="34" spans="1:2" ht="38.25" x14ac:dyDescent="0.25">
      <c r="A34" s="277" t="s">
        <v>597</v>
      </c>
      <c r="B34" s="10" t="s">
        <v>598</v>
      </c>
    </row>
    <row r="35" spans="1:2" ht="38.25" x14ac:dyDescent="0.25">
      <c r="A35" s="277" t="s">
        <v>600</v>
      </c>
      <c r="B35" s="10" t="s">
        <v>599</v>
      </c>
    </row>
    <row r="36" spans="1:2" x14ac:dyDescent="0.25">
      <c r="A36" s="277" t="s">
        <v>601</v>
      </c>
      <c r="B36" s="10" t="s">
        <v>602</v>
      </c>
    </row>
    <row r="37" spans="1:2" x14ac:dyDescent="0.25">
      <c r="A37" s="277" t="s">
        <v>603</v>
      </c>
      <c r="B37" s="10" t="s">
        <v>604</v>
      </c>
    </row>
    <row r="38" spans="1:2" ht="38.25" x14ac:dyDescent="0.25">
      <c r="A38" s="277" t="s">
        <v>790</v>
      </c>
      <c r="B38" s="10" t="s">
        <v>940</v>
      </c>
    </row>
    <row r="39" spans="1:2" ht="38.25" x14ac:dyDescent="0.25">
      <c r="A39" s="277" t="s">
        <v>605</v>
      </c>
      <c r="B39" s="10" t="s">
        <v>915</v>
      </c>
    </row>
    <row r="40" spans="1:2" ht="51" x14ac:dyDescent="0.25">
      <c r="A40" s="278" t="s">
        <v>606</v>
      </c>
      <c r="B40" s="10" t="s">
        <v>138</v>
      </c>
    </row>
    <row r="41" spans="1:2" ht="38.25" x14ac:dyDescent="0.25">
      <c r="A41" s="277" t="s">
        <v>607</v>
      </c>
      <c r="B41" s="10" t="s">
        <v>916</v>
      </c>
    </row>
    <row r="42" spans="1:2" ht="25.5" x14ac:dyDescent="0.25">
      <c r="A42" s="277" t="s">
        <v>608</v>
      </c>
      <c r="B42" s="10" t="s">
        <v>609</v>
      </c>
    </row>
    <row r="43" spans="1:2" x14ac:dyDescent="0.25">
      <c r="A43" s="277">
        <v>120</v>
      </c>
      <c r="B43" s="172" t="s">
        <v>610</v>
      </c>
    </row>
    <row r="44" spans="1:2" ht="25.5" x14ac:dyDescent="0.25">
      <c r="A44" s="277" t="s">
        <v>611</v>
      </c>
      <c r="B44" s="10" t="s">
        <v>917</v>
      </c>
    </row>
    <row r="45" spans="1:2" x14ac:dyDescent="0.25">
      <c r="A45" s="278" t="s">
        <v>612</v>
      </c>
      <c r="B45" s="10" t="s">
        <v>613</v>
      </c>
    </row>
    <row r="46" spans="1:2" x14ac:dyDescent="0.25">
      <c r="A46" s="278" t="s">
        <v>614</v>
      </c>
      <c r="B46" s="10" t="s">
        <v>615</v>
      </c>
    </row>
    <row r="47" spans="1:2" ht="38.25" x14ac:dyDescent="0.25">
      <c r="A47" s="278" t="s">
        <v>616</v>
      </c>
      <c r="B47" s="10" t="s">
        <v>617</v>
      </c>
    </row>
    <row r="48" spans="1:2" ht="25.5" x14ac:dyDescent="0.25">
      <c r="A48" s="277" t="s">
        <v>618</v>
      </c>
      <c r="B48" s="10" t="s">
        <v>918</v>
      </c>
    </row>
    <row r="49" spans="1:2" ht="25.5" x14ac:dyDescent="0.25">
      <c r="A49" s="277" t="s">
        <v>619</v>
      </c>
      <c r="B49" s="10" t="s">
        <v>620</v>
      </c>
    </row>
    <row r="50" spans="1:2" x14ac:dyDescent="0.25">
      <c r="A50" s="278" t="s">
        <v>623</v>
      </c>
      <c r="B50" s="10" t="s">
        <v>621</v>
      </c>
    </row>
    <row r="51" spans="1:2" ht="25.5" x14ac:dyDescent="0.25">
      <c r="A51" s="277" t="s">
        <v>792</v>
      </c>
      <c r="B51" s="10" t="s">
        <v>622</v>
      </c>
    </row>
    <row r="52" spans="1:2" x14ac:dyDescent="0.25">
      <c r="A52" s="277" t="s">
        <v>791</v>
      </c>
      <c r="B52" s="10" t="s">
        <v>624</v>
      </c>
    </row>
    <row r="53" spans="1:2" ht="25.5" x14ac:dyDescent="0.25">
      <c r="A53" s="277">
        <v>125</v>
      </c>
      <c r="B53" s="172" t="s">
        <v>625</v>
      </c>
    </row>
    <row r="54" spans="1:2" ht="51" x14ac:dyDescent="0.25">
      <c r="A54" s="278" t="s">
        <v>626</v>
      </c>
      <c r="B54" s="172" t="s">
        <v>627</v>
      </c>
    </row>
    <row r="55" spans="1:2" ht="25.5" x14ac:dyDescent="0.25">
      <c r="A55" s="278" t="s">
        <v>628</v>
      </c>
      <c r="B55" s="10" t="s">
        <v>280</v>
      </c>
    </row>
    <row r="56" spans="1:2" ht="25.5" x14ac:dyDescent="0.25">
      <c r="A56" s="277" t="s">
        <v>629</v>
      </c>
      <c r="B56" s="10" t="s">
        <v>630</v>
      </c>
    </row>
    <row r="57" spans="1:2" x14ac:dyDescent="0.25">
      <c r="A57" s="277" t="s">
        <v>631</v>
      </c>
      <c r="B57" s="10" t="s">
        <v>281</v>
      </c>
    </row>
    <row r="58" spans="1:2" ht="38.25" x14ac:dyDescent="0.25">
      <c r="A58" s="277" t="s">
        <v>632</v>
      </c>
      <c r="B58" s="10" t="s">
        <v>633</v>
      </c>
    </row>
    <row r="59" spans="1:2" ht="38.25" x14ac:dyDescent="0.25">
      <c r="A59" s="277" t="s">
        <v>634</v>
      </c>
      <c r="B59" s="10" t="s">
        <v>635</v>
      </c>
    </row>
    <row r="60" spans="1:2" x14ac:dyDescent="0.25">
      <c r="A60" s="277" t="s">
        <v>636</v>
      </c>
      <c r="B60" s="10" t="s">
        <v>267</v>
      </c>
    </row>
    <row r="61" spans="1:2" x14ac:dyDescent="0.25">
      <c r="A61" s="277" t="s">
        <v>637</v>
      </c>
      <c r="B61" s="10" t="s">
        <v>638</v>
      </c>
    </row>
    <row r="62" spans="1:2" x14ac:dyDescent="0.25">
      <c r="A62" s="277">
        <v>140</v>
      </c>
      <c r="B62" s="172" t="s">
        <v>139</v>
      </c>
    </row>
    <row r="63" spans="1:2" x14ac:dyDescent="0.25">
      <c r="A63" s="277">
        <v>141</v>
      </c>
      <c r="B63" s="10" t="s">
        <v>140</v>
      </c>
    </row>
    <row r="64" spans="1:2" ht="51" x14ac:dyDescent="0.25">
      <c r="A64" s="278">
        <v>142</v>
      </c>
      <c r="B64" s="10" t="s">
        <v>390</v>
      </c>
    </row>
    <row r="65" spans="1:2" x14ac:dyDescent="0.25">
      <c r="A65" s="278">
        <v>143</v>
      </c>
      <c r="B65" s="10" t="s">
        <v>141</v>
      </c>
    </row>
    <row r="66" spans="1:2" x14ac:dyDescent="0.25">
      <c r="A66" s="278">
        <v>145</v>
      </c>
      <c r="B66" s="172" t="s">
        <v>19</v>
      </c>
    </row>
    <row r="67" spans="1:2" x14ac:dyDescent="0.25">
      <c r="A67" s="277" t="s">
        <v>437</v>
      </c>
      <c r="B67" s="10" t="s">
        <v>143</v>
      </c>
    </row>
    <row r="68" spans="1:2" x14ac:dyDescent="0.25">
      <c r="A68" s="277" t="s">
        <v>639</v>
      </c>
      <c r="B68" s="10" t="s">
        <v>144</v>
      </c>
    </row>
    <row r="69" spans="1:2" x14ac:dyDescent="0.25">
      <c r="A69" s="277" t="s">
        <v>640</v>
      </c>
      <c r="B69" s="10" t="s">
        <v>641</v>
      </c>
    </row>
    <row r="70" spans="1:2" x14ac:dyDescent="0.25">
      <c r="A70" s="277" t="s">
        <v>642</v>
      </c>
      <c r="B70" s="10" t="s">
        <v>643</v>
      </c>
    </row>
    <row r="71" spans="1:2" ht="25.5" x14ac:dyDescent="0.25">
      <c r="A71" s="277" t="s">
        <v>644</v>
      </c>
      <c r="B71" s="10" t="s">
        <v>945</v>
      </c>
    </row>
    <row r="72" spans="1:2" x14ac:dyDescent="0.25">
      <c r="A72" s="277" t="s">
        <v>645</v>
      </c>
      <c r="B72" s="10" t="s">
        <v>646</v>
      </c>
    </row>
    <row r="73" spans="1:2" x14ac:dyDescent="0.25">
      <c r="A73" s="277" t="s">
        <v>647</v>
      </c>
      <c r="B73" s="10" t="s">
        <v>648</v>
      </c>
    </row>
    <row r="74" spans="1:2" x14ac:dyDescent="0.25">
      <c r="A74" s="277" t="s">
        <v>649</v>
      </c>
      <c r="B74" s="10" t="s">
        <v>145</v>
      </c>
    </row>
    <row r="75" spans="1:2" x14ac:dyDescent="0.25">
      <c r="A75" s="277" t="s">
        <v>650</v>
      </c>
      <c r="B75" s="10" t="s">
        <v>226</v>
      </c>
    </row>
    <row r="76" spans="1:2" x14ac:dyDescent="0.25">
      <c r="A76" s="277" t="s">
        <v>441</v>
      </c>
      <c r="B76" s="10" t="s">
        <v>146</v>
      </c>
    </row>
    <row r="77" spans="1:2" ht="204" customHeight="1" x14ac:dyDescent="0.25">
      <c r="A77" s="277"/>
      <c r="B77" s="346" t="e" vm="2">
        <v>#VALUE!</v>
      </c>
    </row>
    <row r="78" spans="1:2" ht="38.25" x14ac:dyDescent="0.25">
      <c r="A78" s="277" t="s">
        <v>651</v>
      </c>
      <c r="B78" s="10" t="s">
        <v>944</v>
      </c>
    </row>
    <row r="79" spans="1:2" ht="63.75" x14ac:dyDescent="0.25">
      <c r="A79" s="277" t="s">
        <v>652</v>
      </c>
      <c r="B79" s="10" t="s">
        <v>943</v>
      </c>
    </row>
    <row r="80" spans="1:2" ht="25.5" x14ac:dyDescent="0.25">
      <c r="A80" s="277" t="s">
        <v>440</v>
      </c>
      <c r="B80" s="10" t="s">
        <v>224</v>
      </c>
    </row>
    <row r="81" spans="1:2" x14ac:dyDescent="0.25">
      <c r="A81" s="277" t="s">
        <v>653</v>
      </c>
      <c r="B81" s="10" t="s">
        <v>217</v>
      </c>
    </row>
    <row r="82" spans="1:2" ht="63.75" x14ac:dyDescent="0.25">
      <c r="A82" s="277">
        <v>150</v>
      </c>
      <c r="B82" s="10" t="s">
        <v>936</v>
      </c>
    </row>
    <row r="83" spans="1:2" ht="51" x14ac:dyDescent="0.25">
      <c r="A83" s="277" t="s">
        <v>655</v>
      </c>
      <c r="B83" s="10" t="s">
        <v>656</v>
      </c>
    </row>
    <row r="84" spans="1:2" ht="63.75" x14ac:dyDescent="0.25">
      <c r="A84" s="280" t="s">
        <v>657</v>
      </c>
      <c r="B84" s="10" t="s">
        <v>658</v>
      </c>
    </row>
    <row r="85" spans="1:2" ht="51" x14ac:dyDescent="0.25">
      <c r="A85" s="280">
        <v>151</v>
      </c>
      <c r="B85" s="10" t="s">
        <v>874</v>
      </c>
    </row>
    <row r="86" spans="1:2" ht="25.5" x14ac:dyDescent="0.25">
      <c r="A86" s="280">
        <v>155</v>
      </c>
      <c r="B86" s="10" t="s">
        <v>659</v>
      </c>
    </row>
    <row r="87" spans="1:2" x14ac:dyDescent="0.25">
      <c r="A87" s="280">
        <v>156</v>
      </c>
      <c r="B87" s="10" t="s">
        <v>873</v>
      </c>
    </row>
    <row r="88" spans="1:2" ht="25.5" x14ac:dyDescent="0.25">
      <c r="A88" s="277">
        <v>160</v>
      </c>
      <c r="B88" s="10" t="s">
        <v>660</v>
      </c>
    </row>
    <row r="89" spans="1:2" x14ac:dyDescent="0.25">
      <c r="A89" s="277" t="s">
        <v>661</v>
      </c>
      <c r="B89" s="10" t="s">
        <v>225</v>
      </c>
    </row>
    <row r="90" spans="1:2" ht="102" x14ac:dyDescent="0.25">
      <c r="A90" s="277" t="s">
        <v>662</v>
      </c>
      <c r="B90" s="10" t="s">
        <v>209</v>
      </c>
    </row>
    <row r="91" spans="1:2" ht="25.5" x14ac:dyDescent="0.25">
      <c r="A91" s="277" t="s">
        <v>663</v>
      </c>
      <c r="B91" s="10" t="s">
        <v>664</v>
      </c>
    </row>
    <row r="92" spans="1:2" x14ac:dyDescent="0.25">
      <c r="A92" s="277" t="s">
        <v>667</v>
      </c>
      <c r="B92" s="10" t="s">
        <v>665</v>
      </c>
    </row>
    <row r="93" spans="1:2" ht="25.5" x14ac:dyDescent="0.25">
      <c r="A93" s="277" t="s">
        <v>666</v>
      </c>
      <c r="B93" s="10" t="s">
        <v>252</v>
      </c>
    </row>
    <row r="94" spans="1:2" s="176" customFormat="1" x14ac:dyDescent="0.25">
      <c r="A94" s="277">
        <v>165</v>
      </c>
      <c r="B94" s="172" t="s">
        <v>148</v>
      </c>
    </row>
    <row r="95" spans="1:2" s="176" customFormat="1" ht="51" x14ac:dyDescent="0.25">
      <c r="A95" s="277">
        <v>166</v>
      </c>
      <c r="B95" s="172" t="s">
        <v>668</v>
      </c>
    </row>
    <row r="96" spans="1:2" x14ac:dyDescent="0.25">
      <c r="A96" s="277" t="s">
        <v>669</v>
      </c>
      <c r="B96" s="10" t="s">
        <v>672</v>
      </c>
    </row>
    <row r="97" spans="1:2" ht="51" x14ac:dyDescent="0.25">
      <c r="A97" s="277" t="s">
        <v>670</v>
      </c>
      <c r="B97" s="10" t="s">
        <v>671</v>
      </c>
    </row>
    <row r="98" spans="1:2" ht="38.25" x14ac:dyDescent="0.25">
      <c r="A98" s="277">
        <v>167</v>
      </c>
      <c r="B98" s="10" t="s">
        <v>673</v>
      </c>
    </row>
    <row r="99" spans="1:2" x14ac:dyDescent="0.25">
      <c r="A99" s="277" t="s">
        <v>674</v>
      </c>
      <c r="B99" s="10" t="s">
        <v>149</v>
      </c>
    </row>
    <row r="100" spans="1:2" x14ac:dyDescent="0.25">
      <c r="A100" s="277" t="s">
        <v>675</v>
      </c>
      <c r="B100" s="10" t="s">
        <v>150</v>
      </c>
    </row>
    <row r="101" spans="1:2" ht="38.25" x14ac:dyDescent="0.25">
      <c r="A101" s="277" t="s">
        <v>676</v>
      </c>
      <c r="B101" s="10" t="s">
        <v>151</v>
      </c>
    </row>
    <row r="102" spans="1:2" ht="38.25" x14ac:dyDescent="0.25">
      <c r="A102" s="277">
        <v>170</v>
      </c>
      <c r="B102" s="10" t="s">
        <v>677</v>
      </c>
    </row>
    <row r="103" spans="1:2" ht="38.25" x14ac:dyDescent="0.25">
      <c r="A103" s="277" t="s">
        <v>678</v>
      </c>
      <c r="B103" s="10" t="s">
        <v>824</v>
      </c>
    </row>
    <row r="104" spans="1:2" x14ac:dyDescent="0.25">
      <c r="A104" s="277" t="s">
        <v>679</v>
      </c>
      <c r="B104" s="10" t="s">
        <v>681</v>
      </c>
    </row>
    <row r="105" spans="1:2" x14ac:dyDescent="0.25">
      <c r="A105" s="277" t="s">
        <v>680</v>
      </c>
      <c r="B105" s="10" t="s">
        <v>682</v>
      </c>
    </row>
    <row r="106" spans="1:2" x14ac:dyDescent="0.25">
      <c r="A106" s="277" t="s">
        <v>683</v>
      </c>
      <c r="B106" s="10" t="s">
        <v>684</v>
      </c>
    </row>
    <row r="107" spans="1:2" x14ac:dyDescent="0.25">
      <c r="A107" s="277" t="s">
        <v>685</v>
      </c>
      <c r="B107" s="10" t="s">
        <v>686</v>
      </c>
    </row>
    <row r="108" spans="1:2" x14ac:dyDescent="0.25">
      <c r="A108" s="277" t="s">
        <v>687</v>
      </c>
      <c r="B108" s="10" t="s">
        <v>688</v>
      </c>
    </row>
    <row r="109" spans="1:2" x14ac:dyDescent="0.25">
      <c r="A109" s="277" t="s">
        <v>689</v>
      </c>
      <c r="B109" s="10" t="s">
        <v>690</v>
      </c>
    </row>
    <row r="110" spans="1:2" ht="25.5" x14ac:dyDescent="0.25">
      <c r="A110" s="277" t="s">
        <v>691</v>
      </c>
      <c r="B110" s="10" t="s">
        <v>793</v>
      </c>
    </row>
    <row r="111" spans="1:2" x14ac:dyDescent="0.25">
      <c r="A111" s="277" t="s">
        <v>692</v>
      </c>
      <c r="B111" s="10" t="s">
        <v>699</v>
      </c>
    </row>
    <row r="112" spans="1:2" ht="25.5" x14ac:dyDescent="0.25">
      <c r="A112" s="277" t="s">
        <v>693</v>
      </c>
      <c r="B112" s="10" t="s">
        <v>864</v>
      </c>
    </row>
    <row r="113" spans="1:2" x14ac:dyDescent="0.25">
      <c r="A113" s="277" t="s">
        <v>694</v>
      </c>
      <c r="B113" s="10" t="s">
        <v>863</v>
      </c>
    </row>
    <row r="114" spans="1:2" x14ac:dyDescent="0.25">
      <c r="A114" s="277" t="s">
        <v>696</v>
      </c>
      <c r="B114" s="10" t="s">
        <v>862</v>
      </c>
    </row>
    <row r="115" spans="1:2" x14ac:dyDescent="0.25">
      <c r="A115" s="277" t="s">
        <v>697</v>
      </c>
      <c r="B115" s="10" t="s">
        <v>700</v>
      </c>
    </row>
    <row r="116" spans="1:2" x14ac:dyDescent="0.25">
      <c r="A116" s="277" t="s">
        <v>695</v>
      </c>
      <c r="B116" s="10" t="s">
        <v>698</v>
      </c>
    </row>
    <row r="117" spans="1:2" ht="25.5" x14ac:dyDescent="0.25">
      <c r="A117" s="277">
        <v>175</v>
      </c>
      <c r="B117" s="172" t="s">
        <v>701</v>
      </c>
    </row>
    <row r="118" spans="1:2" x14ac:dyDescent="0.25">
      <c r="A118" s="277" t="s">
        <v>702</v>
      </c>
      <c r="B118" s="10" t="s">
        <v>711</v>
      </c>
    </row>
    <row r="119" spans="1:2" x14ac:dyDescent="0.25">
      <c r="A119" s="277" t="s">
        <v>703</v>
      </c>
      <c r="B119" s="10" t="s">
        <v>712</v>
      </c>
    </row>
    <row r="120" spans="1:2" x14ac:dyDescent="0.25">
      <c r="A120" s="277" t="s">
        <v>704</v>
      </c>
      <c r="B120" s="10" t="s">
        <v>713</v>
      </c>
    </row>
    <row r="121" spans="1:2" x14ac:dyDescent="0.25">
      <c r="A121" s="277" t="s">
        <v>705</v>
      </c>
      <c r="B121" s="10" t="s">
        <v>714</v>
      </c>
    </row>
    <row r="122" spans="1:2" ht="25.5" x14ac:dyDescent="0.25">
      <c r="A122" s="277" t="s">
        <v>706</v>
      </c>
      <c r="B122" s="10" t="s">
        <v>715</v>
      </c>
    </row>
    <row r="123" spans="1:2" x14ac:dyDescent="0.25">
      <c r="A123" s="277" t="s">
        <v>707</v>
      </c>
      <c r="B123" s="10" t="s">
        <v>716</v>
      </c>
    </row>
    <row r="124" spans="1:2" x14ac:dyDescent="0.25">
      <c r="A124" s="277" t="s">
        <v>794</v>
      </c>
      <c r="B124" s="10" t="s">
        <v>717</v>
      </c>
    </row>
    <row r="125" spans="1:2" x14ac:dyDescent="0.25">
      <c r="A125" s="277">
        <v>177</v>
      </c>
      <c r="B125" s="172" t="s">
        <v>708</v>
      </c>
    </row>
    <row r="126" spans="1:2" x14ac:dyDescent="0.25">
      <c r="A126" s="277" t="s">
        <v>709</v>
      </c>
      <c r="B126" s="10" t="s">
        <v>718</v>
      </c>
    </row>
    <row r="127" spans="1:2" x14ac:dyDescent="0.25">
      <c r="A127" s="277" t="s">
        <v>710</v>
      </c>
      <c r="B127" s="10" t="s">
        <v>719</v>
      </c>
    </row>
    <row r="128" spans="1:2" ht="25.5" x14ac:dyDescent="0.25">
      <c r="A128" s="277">
        <v>179</v>
      </c>
      <c r="B128" s="10" t="s">
        <v>720</v>
      </c>
    </row>
    <row r="129" spans="1:2" ht="51" x14ac:dyDescent="0.25">
      <c r="A129" s="277">
        <v>190</v>
      </c>
      <c r="B129" s="172" t="s">
        <v>823</v>
      </c>
    </row>
    <row r="130" spans="1:2" ht="38.25" x14ac:dyDescent="0.25">
      <c r="A130" s="277" t="s">
        <v>721</v>
      </c>
      <c r="B130" s="10" t="s">
        <v>730</v>
      </c>
    </row>
    <row r="131" spans="1:2" ht="38.25" x14ac:dyDescent="0.25">
      <c r="A131" s="277" t="s">
        <v>722</v>
      </c>
      <c r="B131" s="10" t="s">
        <v>731</v>
      </c>
    </row>
    <row r="132" spans="1:2" ht="63.75" x14ac:dyDescent="0.25">
      <c r="A132" s="277" t="s">
        <v>723</v>
      </c>
      <c r="B132" s="10" t="s">
        <v>732</v>
      </c>
    </row>
    <row r="133" spans="1:2" ht="63.75" x14ac:dyDescent="0.25">
      <c r="A133" s="277" t="s">
        <v>724</v>
      </c>
      <c r="B133" s="10" t="s">
        <v>733</v>
      </c>
    </row>
    <row r="134" spans="1:2" x14ac:dyDescent="0.25">
      <c r="A134" s="277" t="s">
        <v>725</v>
      </c>
      <c r="B134" s="10" t="s">
        <v>736</v>
      </c>
    </row>
    <row r="135" spans="1:2" x14ac:dyDescent="0.25">
      <c r="A135" s="277" t="s">
        <v>726</v>
      </c>
      <c r="B135" s="10" t="s">
        <v>727</v>
      </c>
    </row>
    <row r="136" spans="1:2" x14ac:dyDescent="0.25">
      <c r="A136" s="277" t="s">
        <v>728</v>
      </c>
      <c r="B136" s="10" t="s">
        <v>734</v>
      </c>
    </row>
    <row r="137" spans="1:2" ht="25.5" x14ac:dyDescent="0.25">
      <c r="A137" s="277" t="s">
        <v>729</v>
      </c>
      <c r="B137" s="10" t="s">
        <v>735</v>
      </c>
    </row>
    <row r="138" spans="1:2" x14ac:dyDescent="0.25">
      <c r="A138" s="277" t="s">
        <v>787</v>
      </c>
      <c r="B138" s="10" t="s">
        <v>788</v>
      </c>
    </row>
    <row r="139" spans="1:2" x14ac:dyDescent="0.25">
      <c r="A139" s="277"/>
      <c r="B139" s="10"/>
    </row>
    <row r="140" spans="1:2" ht="25.5" x14ac:dyDescent="0.25">
      <c r="A140" s="277">
        <v>200</v>
      </c>
      <c r="B140" s="172" t="s">
        <v>282</v>
      </c>
    </row>
    <row r="141" spans="1:2" ht="326.25" customHeight="1" x14ac:dyDescent="0.25">
      <c r="A141" s="277"/>
      <c r="B141" s="172" t="e" vm="3">
        <v>#VALUE!</v>
      </c>
    </row>
    <row r="142" spans="1:2" ht="25.5" x14ac:dyDescent="0.25">
      <c r="A142" s="277">
        <v>206</v>
      </c>
      <c r="B142" s="10" t="s">
        <v>156</v>
      </c>
    </row>
    <row r="143" spans="1:2" x14ac:dyDescent="0.25">
      <c r="A143" s="277">
        <v>207</v>
      </c>
      <c r="B143" s="10" t="s">
        <v>218</v>
      </c>
    </row>
    <row r="144" spans="1:2" x14ac:dyDescent="0.25">
      <c r="A144" s="277">
        <v>210</v>
      </c>
      <c r="B144" s="172" t="s">
        <v>155</v>
      </c>
    </row>
    <row r="145" spans="1:2" ht="51" x14ac:dyDescent="0.25">
      <c r="A145" s="277" t="s">
        <v>738</v>
      </c>
      <c r="B145" s="10" t="s">
        <v>739</v>
      </c>
    </row>
    <row r="146" spans="1:2" ht="76.5" x14ac:dyDescent="0.25">
      <c r="A146" s="277" t="s">
        <v>62</v>
      </c>
      <c r="B146" s="10" t="s">
        <v>737</v>
      </c>
    </row>
    <row r="147" spans="1:2" x14ac:dyDescent="0.25">
      <c r="A147" s="277" t="s">
        <v>394</v>
      </c>
      <c r="B147" s="10" t="s">
        <v>795</v>
      </c>
    </row>
    <row r="148" spans="1:2" ht="76.5" x14ac:dyDescent="0.25">
      <c r="A148" s="277" t="s">
        <v>395</v>
      </c>
      <c r="B148" s="10" t="s">
        <v>796</v>
      </c>
    </row>
    <row r="149" spans="1:2" x14ac:dyDescent="0.25">
      <c r="A149" s="280"/>
      <c r="B149" s="10"/>
    </row>
    <row r="150" spans="1:2" ht="25.5" x14ac:dyDescent="0.25">
      <c r="A150" s="278">
        <v>300</v>
      </c>
      <c r="B150" s="172" t="s">
        <v>283</v>
      </c>
    </row>
    <row r="151" spans="1:2" ht="102" x14ac:dyDescent="0.25">
      <c r="A151" s="278">
        <v>310</v>
      </c>
      <c r="B151" s="10" t="s">
        <v>934</v>
      </c>
    </row>
    <row r="152" spans="1:2" ht="38.25" x14ac:dyDescent="0.25">
      <c r="A152" s="278">
        <v>311</v>
      </c>
      <c r="B152" s="10" t="s">
        <v>237</v>
      </c>
    </row>
    <row r="153" spans="1:2" ht="38.25" x14ac:dyDescent="0.25">
      <c r="A153" s="278">
        <v>312</v>
      </c>
      <c r="B153" s="10" t="s">
        <v>238</v>
      </c>
    </row>
    <row r="154" spans="1:2" ht="51" x14ac:dyDescent="0.25">
      <c r="A154" s="278">
        <v>320</v>
      </c>
      <c r="B154" s="10" t="s">
        <v>260</v>
      </c>
    </row>
    <row r="155" spans="1:2" ht="51" x14ac:dyDescent="0.25">
      <c r="A155" s="278">
        <v>321</v>
      </c>
      <c r="B155" s="10" t="s">
        <v>158</v>
      </c>
    </row>
    <row r="156" spans="1:2" ht="63.75" x14ac:dyDescent="0.25">
      <c r="A156" s="278">
        <v>322</v>
      </c>
      <c r="B156" s="10" t="s">
        <v>219</v>
      </c>
    </row>
    <row r="157" spans="1:2" x14ac:dyDescent="0.25">
      <c r="A157" s="278">
        <v>323</v>
      </c>
      <c r="B157" s="10" t="s">
        <v>159</v>
      </c>
    </row>
    <row r="158" spans="1:2" ht="25.5" x14ac:dyDescent="0.25">
      <c r="A158" s="278">
        <v>324</v>
      </c>
      <c r="B158" s="10" t="s">
        <v>160</v>
      </c>
    </row>
    <row r="159" spans="1:2" ht="38.25" x14ac:dyDescent="0.25">
      <c r="A159" s="278">
        <v>325</v>
      </c>
      <c r="B159" s="10" t="s">
        <v>220</v>
      </c>
    </row>
    <row r="160" spans="1:2" ht="38.25" x14ac:dyDescent="0.25">
      <c r="A160" s="278">
        <v>326</v>
      </c>
      <c r="B160" s="10" t="s">
        <v>850</v>
      </c>
    </row>
    <row r="161" spans="1:2" ht="38.25" x14ac:dyDescent="0.25">
      <c r="A161" s="278">
        <v>330</v>
      </c>
      <c r="B161" s="10" t="s">
        <v>851</v>
      </c>
    </row>
    <row r="162" spans="1:2" ht="25.5" x14ac:dyDescent="0.25">
      <c r="A162" s="278">
        <v>331</v>
      </c>
      <c r="B162" s="10" t="s">
        <v>161</v>
      </c>
    </row>
    <row r="163" spans="1:2" ht="25.5" x14ac:dyDescent="0.25">
      <c r="A163" s="278">
        <v>332</v>
      </c>
      <c r="B163" s="10" t="s">
        <v>162</v>
      </c>
    </row>
    <row r="164" spans="1:2" ht="25.5" x14ac:dyDescent="0.25">
      <c r="A164" s="278">
        <v>333</v>
      </c>
      <c r="B164" s="10" t="s">
        <v>163</v>
      </c>
    </row>
    <row r="165" spans="1:2" ht="25.5" x14ac:dyDescent="0.25">
      <c r="A165" s="278">
        <v>334</v>
      </c>
      <c r="B165" s="10" t="s">
        <v>164</v>
      </c>
    </row>
    <row r="166" spans="1:2" ht="25.5" x14ac:dyDescent="0.25">
      <c r="A166" s="278">
        <v>335</v>
      </c>
      <c r="B166" s="10" t="s">
        <v>165</v>
      </c>
    </row>
    <row r="167" spans="1:2" x14ac:dyDescent="0.25">
      <c r="A167" s="280"/>
      <c r="B167" s="10"/>
    </row>
    <row r="168" spans="1:2" ht="102" x14ac:dyDescent="0.25">
      <c r="A168" s="277">
        <v>500</v>
      </c>
      <c r="B168" s="10" t="s">
        <v>740</v>
      </c>
    </row>
    <row r="169" spans="1:2" ht="25.5" x14ac:dyDescent="0.25">
      <c r="A169" s="277">
        <v>501</v>
      </c>
      <c r="B169" s="10" t="s">
        <v>167</v>
      </c>
    </row>
    <row r="170" spans="1:2" ht="25.5" x14ac:dyDescent="0.25">
      <c r="A170" s="277">
        <v>505</v>
      </c>
      <c r="B170" s="10" t="s">
        <v>782</v>
      </c>
    </row>
    <row r="171" spans="1:2" ht="51" x14ac:dyDescent="0.25">
      <c r="A171" s="277">
        <v>506</v>
      </c>
      <c r="B171" s="10" t="s">
        <v>228</v>
      </c>
    </row>
    <row r="172" spans="1:2" ht="25.5" x14ac:dyDescent="0.25">
      <c r="A172" s="277">
        <v>510</v>
      </c>
      <c r="B172" s="10" t="s">
        <v>741</v>
      </c>
    </row>
    <row r="173" spans="1:2" ht="25.5" x14ac:dyDescent="0.25">
      <c r="A173" s="277" t="s">
        <v>742</v>
      </c>
      <c r="B173" s="10" t="s">
        <v>743</v>
      </c>
    </row>
    <row r="174" spans="1:2" x14ac:dyDescent="0.25">
      <c r="A174" s="277" t="s">
        <v>744</v>
      </c>
      <c r="B174" s="10" t="s">
        <v>965</v>
      </c>
    </row>
    <row r="175" spans="1:2" x14ac:dyDescent="0.25">
      <c r="A175" s="277" t="s">
        <v>745</v>
      </c>
      <c r="B175" s="10" t="s">
        <v>966</v>
      </c>
    </row>
    <row r="176" spans="1:2" x14ac:dyDescent="0.25">
      <c r="A176" s="277" t="s">
        <v>746</v>
      </c>
      <c r="B176" s="10" t="s">
        <v>756</v>
      </c>
    </row>
    <row r="177" spans="1:2" x14ac:dyDescent="0.25">
      <c r="A177" s="277" t="s">
        <v>747</v>
      </c>
      <c r="B177" s="10" t="s">
        <v>757</v>
      </c>
    </row>
    <row r="178" spans="1:2" x14ac:dyDescent="0.25">
      <c r="A178" s="277" t="s">
        <v>748</v>
      </c>
      <c r="B178" s="10" t="s">
        <v>758</v>
      </c>
    </row>
    <row r="179" spans="1:2" x14ac:dyDescent="0.25">
      <c r="A179" s="277" t="s">
        <v>749</v>
      </c>
      <c r="B179" s="10" t="s">
        <v>759</v>
      </c>
    </row>
    <row r="180" spans="1:2" x14ac:dyDescent="0.25">
      <c r="A180" s="277" t="s">
        <v>750</v>
      </c>
      <c r="B180" s="10" t="s">
        <v>937</v>
      </c>
    </row>
    <row r="181" spans="1:2" x14ac:dyDescent="0.25">
      <c r="A181" s="277" t="s">
        <v>751</v>
      </c>
      <c r="B181" s="10" t="s">
        <v>938</v>
      </c>
    </row>
    <row r="182" spans="1:2" x14ac:dyDescent="0.25">
      <c r="A182" s="277" t="s">
        <v>752</v>
      </c>
      <c r="B182" s="10" t="s">
        <v>760</v>
      </c>
    </row>
    <row r="183" spans="1:2" x14ac:dyDescent="0.25">
      <c r="A183" s="277" t="s">
        <v>753</v>
      </c>
      <c r="B183" s="10" t="s">
        <v>761</v>
      </c>
    </row>
    <row r="184" spans="1:2" x14ac:dyDescent="0.25">
      <c r="A184" s="277" t="s">
        <v>964</v>
      </c>
      <c r="B184" s="10" t="s">
        <v>762</v>
      </c>
    </row>
    <row r="185" spans="1:2" x14ac:dyDescent="0.25">
      <c r="A185" s="277" t="s">
        <v>806</v>
      </c>
      <c r="B185" s="10" t="s">
        <v>808</v>
      </c>
    </row>
    <row r="186" spans="1:2" x14ac:dyDescent="0.25">
      <c r="A186" s="277" t="s">
        <v>807</v>
      </c>
      <c r="B186" s="10" t="s">
        <v>809</v>
      </c>
    </row>
    <row r="187" spans="1:2" ht="38.25" x14ac:dyDescent="0.25">
      <c r="A187" s="277" t="s">
        <v>754</v>
      </c>
      <c r="B187" s="10" t="s">
        <v>755</v>
      </c>
    </row>
    <row r="188" spans="1:2" ht="102" x14ac:dyDescent="0.25">
      <c r="A188" s="277">
        <v>511</v>
      </c>
      <c r="B188" s="10" t="s">
        <v>822</v>
      </c>
    </row>
    <row r="189" spans="1:2" x14ac:dyDescent="0.25">
      <c r="A189" s="277">
        <v>530</v>
      </c>
      <c r="B189" s="10" t="s">
        <v>763</v>
      </c>
    </row>
    <row r="190" spans="1:2" x14ac:dyDescent="0.25">
      <c r="A190" s="277">
        <v>531</v>
      </c>
      <c r="B190" s="10" t="s">
        <v>812</v>
      </c>
    </row>
    <row r="191" spans="1:2" ht="38.25" x14ac:dyDescent="0.25">
      <c r="A191" s="277">
        <v>532</v>
      </c>
      <c r="B191" s="10" t="s">
        <v>830</v>
      </c>
    </row>
    <row r="192" spans="1:2" ht="25.5" x14ac:dyDescent="0.25">
      <c r="A192" s="277">
        <v>533</v>
      </c>
      <c r="B192" s="10" t="s">
        <v>935</v>
      </c>
    </row>
    <row r="193" spans="1:2" ht="63.75" x14ac:dyDescent="0.25">
      <c r="A193" s="277">
        <v>541</v>
      </c>
      <c r="B193" s="10" t="s">
        <v>811</v>
      </c>
    </row>
    <row r="194" spans="1:2" ht="38.25" x14ac:dyDescent="0.25">
      <c r="A194" s="277">
        <v>542</v>
      </c>
      <c r="B194" s="10" t="s">
        <v>798</v>
      </c>
    </row>
    <row r="195" spans="1:2" ht="89.25" x14ac:dyDescent="0.25">
      <c r="A195" s="277">
        <v>543</v>
      </c>
      <c r="B195" s="10" t="s">
        <v>855</v>
      </c>
    </row>
    <row r="196" spans="1:2" ht="25.5" x14ac:dyDescent="0.25">
      <c r="A196" s="277">
        <v>544</v>
      </c>
      <c r="B196" s="10" t="s">
        <v>799</v>
      </c>
    </row>
    <row r="197" spans="1:2" ht="63.75" x14ac:dyDescent="0.25">
      <c r="A197" s="277">
        <v>551</v>
      </c>
      <c r="B197" s="10" t="s">
        <v>854</v>
      </c>
    </row>
    <row r="198" spans="1:2" ht="63.75" x14ac:dyDescent="0.25">
      <c r="A198" s="277">
        <v>552</v>
      </c>
      <c r="B198" s="10" t="s">
        <v>856</v>
      </c>
    </row>
    <row r="199" spans="1:2" ht="38.25" x14ac:dyDescent="0.25">
      <c r="A199" s="277">
        <v>555</v>
      </c>
      <c r="B199" s="10" t="s">
        <v>857</v>
      </c>
    </row>
    <row r="200" spans="1:2" x14ac:dyDescent="0.25">
      <c r="A200" s="277">
        <v>561</v>
      </c>
      <c r="B200" s="10" t="s">
        <v>835</v>
      </c>
    </row>
    <row r="201" spans="1:2" x14ac:dyDescent="0.25">
      <c r="A201" s="277">
        <v>562</v>
      </c>
      <c r="B201" s="10" t="s">
        <v>764</v>
      </c>
    </row>
    <row r="202" spans="1:2" x14ac:dyDescent="0.25">
      <c r="A202" s="277">
        <v>563</v>
      </c>
      <c r="B202" s="10" t="s">
        <v>765</v>
      </c>
    </row>
    <row r="203" spans="1:2" ht="38.25" x14ac:dyDescent="0.25">
      <c r="A203" s="277">
        <v>564</v>
      </c>
      <c r="B203" s="10" t="s">
        <v>766</v>
      </c>
    </row>
    <row r="204" spans="1:2" ht="38.25" x14ac:dyDescent="0.25">
      <c r="A204" s="277">
        <v>566</v>
      </c>
      <c r="B204" s="10" t="s">
        <v>208</v>
      </c>
    </row>
    <row r="205" spans="1:2" ht="76.5" x14ac:dyDescent="0.25">
      <c r="A205" s="277">
        <v>567</v>
      </c>
      <c r="B205" s="10" t="s">
        <v>767</v>
      </c>
    </row>
    <row r="206" spans="1:2" x14ac:dyDescent="0.25">
      <c r="A206" s="277">
        <v>569</v>
      </c>
      <c r="B206" s="172" t="s">
        <v>178</v>
      </c>
    </row>
    <row r="207" spans="1:2" x14ac:dyDescent="0.25">
      <c r="A207" s="277" t="s">
        <v>424</v>
      </c>
      <c r="B207" s="10" t="s">
        <v>768</v>
      </c>
    </row>
    <row r="208" spans="1:2" x14ac:dyDescent="0.25">
      <c r="A208" s="277" t="s">
        <v>425</v>
      </c>
      <c r="B208" s="10" t="s">
        <v>769</v>
      </c>
    </row>
    <row r="209" spans="1:2" x14ac:dyDescent="0.25">
      <c r="A209" s="277" t="s">
        <v>426</v>
      </c>
      <c r="B209" s="10" t="s">
        <v>771</v>
      </c>
    </row>
    <row r="210" spans="1:2" x14ac:dyDescent="0.25">
      <c r="A210" s="277" t="s">
        <v>427</v>
      </c>
      <c r="B210" s="10" t="s">
        <v>770</v>
      </c>
    </row>
    <row r="211" spans="1:2" x14ac:dyDescent="0.25">
      <c r="A211" s="277" t="s">
        <v>432</v>
      </c>
      <c r="B211" s="10" t="s">
        <v>772</v>
      </c>
    </row>
    <row r="212" spans="1:2" x14ac:dyDescent="0.25">
      <c r="A212" s="277" t="s">
        <v>433</v>
      </c>
      <c r="B212" s="10" t="s">
        <v>773</v>
      </c>
    </row>
    <row r="213" spans="1:2" x14ac:dyDescent="0.25">
      <c r="A213" s="277" t="s">
        <v>434</v>
      </c>
      <c r="B213" s="10" t="s">
        <v>774</v>
      </c>
    </row>
    <row r="214" spans="1:2" ht="25.5" x14ac:dyDescent="0.25">
      <c r="A214" s="277" t="s">
        <v>435</v>
      </c>
      <c r="B214" s="10" t="s">
        <v>893</v>
      </c>
    </row>
    <row r="215" spans="1:2" ht="89.25" x14ac:dyDescent="0.25">
      <c r="A215" s="277" t="s">
        <v>436</v>
      </c>
      <c r="B215" s="10" t="s">
        <v>775</v>
      </c>
    </row>
    <row r="216" spans="1:2" ht="25.5" x14ac:dyDescent="0.25">
      <c r="A216" s="277">
        <v>575</v>
      </c>
      <c r="B216" s="10" t="s">
        <v>776</v>
      </c>
    </row>
    <row r="217" spans="1:2" ht="76.5" x14ac:dyDescent="0.25">
      <c r="A217" s="278">
        <v>576</v>
      </c>
      <c r="B217" s="10" t="s">
        <v>777</v>
      </c>
    </row>
    <row r="218" spans="1:2" ht="76.5" x14ac:dyDescent="0.25">
      <c r="A218" s="278">
        <v>577</v>
      </c>
      <c r="B218" s="10" t="s">
        <v>778</v>
      </c>
    </row>
    <row r="219" spans="1:2" ht="25.5" x14ac:dyDescent="0.25">
      <c r="A219" s="278">
        <v>578</v>
      </c>
      <c r="B219" s="10" t="s">
        <v>253</v>
      </c>
    </row>
    <row r="220" spans="1:2" x14ac:dyDescent="0.25">
      <c r="A220" s="277">
        <v>579</v>
      </c>
      <c r="B220" s="172" t="s">
        <v>177</v>
      </c>
    </row>
    <row r="221" spans="1:2" ht="25.5" x14ac:dyDescent="0.25">
      <c r="A221" s="277">
        <v>580</v>
      </c>
      <c r="B221" s="10" t="s">
        <v>868</v>
      </c>
    </row>
    <row r="222" spans="1:2" ht="25.5" x14ac:dyDescent="0.25">
      <c r="A222" s="277">
        <v>581</v>
      </c>
      <c r="B222" s="10" t="s">
        <v>869</v>
      </c>
    </row>
    <row r="223" spans="1:2" x14ac:dyDescent="0.25">
      <c r="A223" s="277">
        <v>582</v>
      </c>
      <c r="B223" s="10" t="s">
        <v>250</v>
      </c>
    </row>
    <row r="224" spans="1:2" ht="25.5" x14ac:dyDescent="0.25">
      <c r="A224" s="279">
        <v>585</v>
      </c>
      <c r="B224" s="10" t="s">
        <v>779</v>
      </c>
    </row>
    <row r="225" spans="1:2" ht="25.5" x14ac:dyDescent="0.25">
      <c r="A225" s="277">
        <v>588</v>
      </c>
      <c r="B225" s="10" t="s">
        <v>780</v>
      </c>
    </row>
    <row r="226" spans="1:2" x14ac:dyDescent="0.25">
      <c r="A226" s="277">
        <v>589</v>
      </c>
      <c r="B226" s="10" t="s">
        <v>254</v>
      </c>
    </row>
    <row r="227" spans="1:2" ht="51" x14ac:dyDescent="0.25">
      <c r="A227" s="277">
        <v>591</v>
      </c>
      <c r="B227" s="10" t="s">
        <v>227</v>
      </c>
    </row>
    <row r="228" spans="1:2" ht="51" x14ac:dyDescent="0.25">
      <c r="A228" s="277">
        <v>592</v>
      </c>
      <c r="B228" s="10" t="s">
        <v>255</v>
      </c>
    </row>
    <row r="229" spans="1:2" ht="25.5" x14ac:dyDescent="0.25">
      <c r="A229" s="277">
        <v>599</v>
      </c>
      <c r="B229" s="10" t="s">
        <v>781</v>
      </c>
    </row>
    <row r="230" spans="1:2" x14ac:dyDescent="0.25">
      <c r="A230" s="277"/>
      <c r="B230" s="10"/>
    </row>
    <row r="231" spans="1:2" ht="25.5" x14ac:dyDescent="0.25">
      <c r="A231" s="277">
        <v>600</v>
      </c>
      <c r="B231" s="10" t="s">
        <v>284</v>
      </c>
    </row>
    <row r="232" spans="1:2" x14ac:dyDescent="0.25">
      <c r="A232" s="277">
        <v>610</v>
      </c>
      <c r="B232" s="10" t="s">
        <v>285</v>
      </c>
    </row>
    <row r="233" spans="1:2" ht="25.5" x14ac:dyDescent="0.25">
      <c r="A233" s="277">
        <v>612</v>
      </c>
      <c r="B233" s="10" t="s">
        <v>813</v>
      </c>
    </row>
    <row r="234" spans="1:2" ht="25.5" x14ac:dyDescent="0.25">
      <c r="A234" s="277">
        <v>613</v>
      </c>
      <c r="B234" s="10" t="s">
        <v>814</v>
      </c>
    </row>
    <row r="235" spans="1:2" x14ac:dyDescent="0.25">
      <c r="A235" s="277">
        <v>615</v>
      </c>
      <c r="B235" s="10" t="s">
        <v>783</v>
      </c>
    </row>
    <row r="236" spans="1:2" ht="38.25" x14ac:dyDescent="0.25">
      <c r="A236" s="277">
        <v>620</v>
      </c>
      <c r="B236" s="10" t="s">
        <v>784</v>
      </c>
    </row>
    <row r="237" spans="1:2" ht="38.25" x14ac:dyDescent="0.25">
      <c r="A237" s="277">
        <v>621</v>
      </c>
      <c r="B237" s="10" t="s">
        <v>815</v>
      </c>
    </row>
    <row r="238" spans="1:2" ht="38.25" x14ac:dyDescent="0.25">
      <c r="A238" s="277">
        <v>622</v>
      </c>
      <c r="B238" s="10" t="s">
        <v>816</v>
      </c>
    </row>
    <row r="239" spans="1:2" x14ac:dyDescent="0.25">
      <c r="A239" s="277">
        <v>623</v>
      </c>
      <c r="B239" s="10" t="s">
        <v>817</v>
      </c>
    </row>
    <row r="240" spans="1:2" ht="38.25" x14ac:dyDescent="0.25">
      <c r="A240" s="277">
        <v>624</v>
      </c>
      <c r="B240" s="10" t="s">
        <v>786</v>
      </c>
    </row>
    <row r="241" spans="1:2" ht="51" x14ac:dyDescent="0.25">
      <c r="A241" s="277">
        <v>625</v>
      </c>
      <c r="B241" s="10" t="s">
        <v>818</v>
      </c>
    </row>
    <row r="242" spans="1:2" ht="38.25" x14ac:dyDescent="0.25">
      <c r="A242" s="277">
        <v>626</v>
      </c>
      <c r="B242" s="10" t="s">
        <v>819</v>
      </c>
    </row>
    <row r="243" spans="1:2" ht="38.25" x14ac:dyDescent="0.25">
      <c r="A243" s="277">
        <v>627</v>
      </c>
      <c r="B243" s="10" t="s">
        <v>785</v>
      </c>
    </row>
    <row r="244" spans="1:2" ht="25.5" x14ac:dyDescent="0.25">
      <c r="A244" s="277">
        <v>650</v>
      </c>
      <c r="B244" s="10" t="s">
        <v>286</v>
      </c>
    </row>
    <row r="245" spans="1:2" x14ac:dyDescent="0.25">
      <c r="A245" s="277">
        <v>655</v>
      </c>
      <c r="B245" s="10" t="s">
        <v>820</v>
      </c>
    </row>
    <row r="246" spans="1:2" x14ac:dyDescent="0.25">
      <c r="A246" s="277">
        <v>690</v>
      </c>
      <c r="B246" s="10" t="s">
        <v>287</v>
      </c>
    </row>
    <row r="247" spans="1:2" x14ac:dyDescent="0.25">
      <c r="A247" s="277"/>
      <c r="B247" s="10"/>
    </row>
    <row r="248" spans="1:2" x14ac:dyDescent="0.25">
      <c r="A248" s="277">
        <v>700</v>
      </c>
      <c r="B248" s="172" t="s">
        <v>896</v>
      </c>
    </row>
    <row r="249" spans="1:2" ht="25.5" x14ac:dyDescent="0.25">
      <c r="A249" s="277">
        <v>710</v>
      </c>
      <c r="B249" s="10" t="s">
        <v>898</v>
      </c>
    </row>
    <row r="250" spans="1:2" ht="51" x14ac:dyDescent="0.25">
      <c r="A250" s="277">
        <v>711</v>
      </c>
      <c r="B250" s="10" t="s">
        <v>899</v>
      </c>
    </row>
    <row r="251" spans="1:2" ht="25.5" x14ac:dyDescent="0.25">
      <c r="A251" s="277">
        <v>712</v>
      </c>
      <c r="B251" s="10" t="s">
        <v>900</v>
      </c>
    </row>
    <row r="252" spans="1:2" x14ac:dyDescent="0.25">
      <c r="A252" s="277">
        <v>713</v>
      </c>
      <c r="B252" s="10" t="s">
        <v>901</v>
      </c>
    </row>
    <row r="253" spans="1:2" x14ac:dyDescent="0.25">
      <c r="A253" s="277">
        <v>714</v>
      </c>
      <c r="B253" s="10" t="s">
        <v>902</v>
      </c>
    </row>
    <row r="254" spans="1:2" ht="25.5" x14ac:dyDescent="0.25">
      <c r="A254" s="277">
        <v>715</v>
      </c>
      <c r="B254" s="10" t="s">
        <v>903</v>
      </c>
    </row>
    <row r="255" spans="1:2" x14ac:dyDescent="0.25">
      <c r="A255" s="277">
        <v>716</v>
      </c>
      <c r="B255" s="172" t="s">
        <v>904</v>
      </c>
    </row>
    <row r="256" spans="1:2" x14ac:dyDescent="0.25">
      <c r="A256" s="277"/>
      <c r="B256" s="10"/>
    </row>
    <row r="257" spans="1:2" ht="25.5" x14ac:dyDescent="0.25">
      <c r="A257" s="277">
        <v>800</v>
      </c>
      <c r="B257" s="10" t="s">
        <v>897</v>
      </c>
    </row>
    <row r="258" spans="1:2" ht="51" x14ac:dyDescent="0.25">
      <c r="A258" s="277">
        <v>811</v>
      </c>
      <c r="B258" s="10" t="s">
        <v>825</v>
      </c>
    </row>
    <row r="259" spans="1:2" x14ac:dyDescent="0.25">
      <c r="A259" s="277" t="s">
        <v>876</v>
      </c>
      <c r="B259" s="10" t="s">
        <v>826</v>
      </c>
    </row>
    <row r="260" spans="1:2" x14ac:dyDescent="0.25">
      <c r="A260" s="277" t="s">
        <v>877</v>
      </c>
      <c r="B260" s="10" t="s">
        <v>827</v>
      </c>
    </row>
    <row r="261" spans="1:2" ht="25.5" x14ac:dyDescent="0.25">
      <c r="A261" s="277" t="s">
        <v>878</v>
      </c>
      <c r="B261" s="10" t="s">
        <v>828</v>
      </c>
    </row>
    <row r="262" spans="1:2" x14ac:dyDescent="0.25">
      <c r="A262" s="277"/>
      <c r="B262" s="10"/>
    </row>
    <row r="263" spans="1:2" ht="114.75" x14ac:dyDescent="0.25">
      <c r="A263" s="277">
        <v>900</v>
      </c>
      <c r="B263" s="10" t="s">
        <v>288</v>
      </c>
    </row>
    <row r="264" spans="1:2" x14ac:dyDescent="0.25">
      <c r="A264" s="277">
        <v>910</v>
      </c>
      <c r="B264" s="10" t="s">
        <v>289</v>
      </c>
    </row>
    <row r="265" spans="1:2" ht="76.5" x14ac:dyDescent="0.25">
      <c r="A265" s="277">
        <v>911</v>
      </c>
      <c r="B265" s="10" t="s">
        <v>290</v>
      </c>
    </row>
    <row r="266" spans="1:2" ht="51" x14ac:dyDescent="0.25">
      <c r="A266" s="277">
        <v>912</v>
      </c>
      <c r="B266" s="10" t="s">
        <v>291</v>
      </c>
    </row>
    <row r="267" spans="1:2" x14ac:dyDescent="0.25">
      <c r="A267" s="277">
        <v>920</v>
      </c>
      <c r="B267" s="10" t="s">
        <v>292</v>
      </c>
    </row>
    <row r="268" spans="1:2" ht="38.25" x14ac:dyDescent="0.25">
      <c r="A268" s="277">
        <v>921</v>
      </c>
      <c r="B268" s="10" t="s">
        <v>293</v>
      </c>
    </row>
    <row r="269" spans="1:2" ht="25.5" x14ac:dyDescent="0.25">
      <c r="A269" s="277">
        <v>922</v>
      </c>
      <c r="B269" s="10" t="s">
        <v>294</v>
      </c>
    </row>
    <row r="270" spans="1:2" ht="76.5" x14ac:dyDescent="0.25">
      <c r="A270" s="277">
        <v>923</v>
      </c>
      <c r="B270" s="10" t="s">
        <v>295</v>
      </c>
    </row>
    <row r="271" spans="1:2" ht="89.25" x14ac:dyDescent="0.25">
      <c r="A271" s="277">
        <v>924</v>
      </c>
      <c r="B271" s="10" t="s">
        <v>296</v>
      </c>
    </row>
    <row r="272" spans="1:2" ht="63.75" x14ac:dyDescent="0.25">
      <c r="A272" s="277">
        <v>925</v>
      </c>
      <c r="B272" s="10" t="s">
        <v>297</v>
      </c>
    </row>
    <row r="273" spans="1:2" ht="63.75" x14ac:dyDescent="0.25">
      <c r="A273" s="277">
        <v>926</v>
      </c>
      <c r="B273" s="10" t="s">
        <v>298</v>
      </c>
    </row>
    <row r="274" spans="1:2" ht="63.75" x14ac:dyDescent="0.25">
      <c r="A274" s="277">
        <v>927</v>
      </c>
      <c r="B274" s="10" t="s">
        <v>299</v>
      </c>
    </row>
    <row r="275" spans="1:2" ht="63.75" x14ac:dyDescent="0.25">
      <c r="A275" s="277">
        <v>928</v>
      </c>
      <c r="B275" s="10" t="s">
        <v>300</v>
      </c>
    </row>
    <row r="276" spans="1:2" ht="63.75" x14ac:dyDescent="0.25">
      <c r="A276" s="277">
        <v>929</v>
      </c>
      <c r="B276" s="10" t="s">
        <v>301</v>
      </c>
    </row>
    <row r="277" spans="1:2" ht="63.75" x14ac:dyDescent="0.25">
      <c r="A277" s="277">
        <v>930</v>
      </c>
      <c r="B277" s="10" t="s">
        <v>302</v>
      </c>
    </row>
    <row r="278" spans="1:2" x14ac:dyDescent="0.25">
      <c r="A278" s="277"/>
      <c r="B278" s="10"/>
    </row>
    <row r="279" spans="1:2" x14ac:dyDescent="0.25">
      <c r="A279" s="276"/>
      <c r="B279" s="177" t="s">
        <v>3</v>
      </c>
    </row>
    <row r="280" spans="1:2" x14ac:dyDescent="0.25">
      <c r="A280" s="276" t="s">
        <v>23</v>
      </c>
      <c r="B280" s="10" t="s">
        <v>206</v>
      </c>
    </row>
    <row r="281" spans="1:2" x14ac:dyDescent="0.25">
      <c r="A281" s="276" t="s">
        <v>192</v>
      </c>
      <c r="B281" s="10" t="s">
        <v>193</v>
      </c>
    </row>
    <row r="282" spans="1:2" ht="15.75" x14ac:dyDescent="0.25">
      <c r="A282" s="276" t="s">
        <v>303</v>
      </c>
      <c r="B282" s="10" t="s">
        <v>197</v>
      </c>
    </row>
    <row r="283" spans="1:2" ht="15.75" x14ac:dyDescent="0.25">
      <c r="A283" s="276" t="s">
        <v>304</v>
      </c>
      <c r="B283" s="10" t="s">
        <v>198</v>
      </c>
    </row>
    <row r="284" spans="1:2" x14ac:dyDescent="0.25">
      <c r="A284" s="276" t="s">
        <v>62</v>
      </c>
      <c r="B284" s="10" t="s">
        <v>194</v>
      </c>
    </row>
    <row r="285" spans="1:2" x14ac:dyDescent="0.25">
      <c r="A285" s="276" t="s">
        <v>39</v>
      </c>
      <c r="B285" s="10" t="s">
        <v>195</v>
      </c>
    </row>
    <row r="286" spans="1:2" x14ac:dyDescent="0.25">
      <c r="A286" s="276" t="s">
        <v>12</v>
      </c>
      <c r="B286" s="10" t="s">
        <v>196</v>
      </c>
    </row>
    <row r="287" spans="1:2" x14ac:dyDescent="0.25">
      <c r="A287" s="276"/>
      <c r="B287" s="10"/>
    </row>
    <row r="288" spans="1:2" x14ac:dyDescent="0.25">
      <c r="A288" s="276"/>
      <c r="B288" s="172" t="s">
        <v>37</v>
      </c>
    </row>
    <row r="289" spans="1:2" x14ac:dyDescent="0.25">
      <c r="A289" s="276" t="s">
        <v>199</v>
      </c>
      <c r="B289" s="10" t="s">
        <v>201</v>
      </c>
    </row>
    <row r="290" spans="1:2" x14ac:dyDescent="0.25">
      <c r="A290" s="276" t="s">
        <v>221</v>
      </c>
      <c r="B290" s="10" t="s">
        <v>202</v>
      </c>
    </row>
    <row r="291" spans="1:2" x14ac:dyDescent="0.25">
      <c r="A291" s="281" t="s">
        <v>200</v>
      </c>
      <c r="B291" s="178" t="s">
        <v>203</v>
      </c>
    </row>
    <row r="292" spans="1:2" x14ac:dyDescent="0.25"/>
  </sheetData>
  <sheetProtection algorithmName="SHA-512" hashValue="lh+xkjgi/sPuZysolU1Do+FWusTi1ee31V+wwpXWbXnxpA5Mqcfx9gDt6p4ku9gY0UmeKZA0GIBEc05NjfpkkA==" saltValue="AggkiKhwtj1tCCV5KlkC6g==" spinCount="100000" sheet="1" objects="1" scenarios="1"/>
  <phoneticPr fontId="10"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H164"/>
  <sheetViews>
    <sheetView workbookViewId="0">
      <selection activeCell="C8" sqref="C8"/>
    </sheetView>
  </sheetViews>
  <sheetFormatPr baseColWidth="10" defaultColWidth="0" defaultRowHeight="12.75" zeroHeight="1" x14ac:dyDescent="0.2"/>
  <cols>
    <col min="1" max="1" width="5.42578125" style="45" customWidth="1"/>
    <col min="2" max="2" width="17.42578125" style="1" customWidth="1"/>
    <col min="3" max="3" width="46" style="1" bestFit="1" customWidth="1"/>
    <col min="4" max="4" width="12.5703125" style="1" customWidth="1"/>
    <col min="5" max="6" width="6.7109375" style="1" customWidth="1"/>
    <col min="7" max="7" width="2.85546875" style="1" customWidth="1"/>
    <col min="8" max="8" width="1.140625" style="1" customWidth="1"/>
    <col min="9" max="9" width="5.140625" style="1" customWidth="1"/>
    <col min="10" max="10" width="7.7109375" style="1" customWidth="1"/>
    <col min="11" max="11" width="12.57031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42578125" style="1" hidden="1" customWidth="1"/>
    <col min="20" max="20" width="6.85546875" style="1" hidden="1" customWidth="1"/>
    <col min="21" max="21" width="6.42578125" style="1" hidden="1" customWidth="1"/>
    <col min="22" max="22" width="6.42578125" style="2" hidden="1" customWidth="1"/>
    <col min="23" max="23" width="7" style="2" hidden="1" customWidth="1"/>
    <col min="24" max="24" width="7.28515625" style="2" hidden="1" customWidth="1"/>
    <col min="25" max="30" width="10.85546875" style="2" hidden="1" customWidth="1"/>
    <col min="31" max="34" width="0" style="1" hidden="1" customWidth="1"/>
    <col min="35" max="16384" width="10.85546875" style="1" hidden="1"/>
  </cols>
  <sheetData>
    <row r="1" spans="1:30" ht="17.100000000000001" customHeight="1" x14ac:dyDescent="0.25">
      <c r="A1" s="214">
        <v>100</v>
      </c>
      <c r="B1" s="180" t="s">
        <v>216</v>
      </c>
      <c r="C1" s="2"/>
      <c r="V1" s="1"/>
      <c r="W1" s="1"/>
      <c r="X1" s="1"/>
      <c r="Y1" s="1"/>
      <c r="Z1" s="1"/>
      <c r="AA1" s="1"/>
      <c r="AB1" s="1"/>
      <c r="AC1" s="1"/>
      <c r="AD1" s="1"/>
    </row>
    <row r="2" spans="1:30" ht="12.95" customHeight="1" x14ac:dyDescent="0.2">
      <c r="B2" s="5"/>
      <c r="C2" s="2"/>
      <c r="K2" s="242">
        <v>105</v>
      </c>
      <c r="M2" s="242">
        <v>105</v>
      </c>
      <c r="V2" s="1"/>
      <c r="W2" s="1"/>
      <c r="X2" s="1"/>
      <c r="Y2" s="1"/>
      <c r="Z2" s="1"/>
      <c r="AA2" s="1"/>
      <c r="AB2" s="1"/>
      <c r="AC2" s="1"/>
      <c r="AD2" s="1"/>
    </row>
    <row r="3" spans="1:30" ht="12.95" customHeight="1" x14ac:dyDescent="0.2">
      <c r="A3" s="221" t="s">
        <v>398</v>
      </c>
      <c r="C3" s="42" t="s">
        <v>4</v>
      </c>
      <c r="J3" s="159"/>
      <c r="K3" s="5" t="s">
        <v>374</v>
      </c>
      <c r="O3" s="5" t="s">
        <v>189</v>
      </c>
      <c r="Q3" s="5" t="s">
        <v>373</v>
      </c>
      <c r="V3" s="1"/>
      <c r="W3" s="1"/>
      <c r="X3" s="1"/>
      <c r="Y3" s="1"/>
      <c r="Z3" s="1"/>
      <c r="AA3" s="1"/>
      <c r="AB3" s="1"/>
      <c r="AC3" s="1"/>
      <c r="AD3" s="1"/>
    </row>
    <row r="4" spans="1:30" ht="12.95" customHeight="1" x14ac:dyDescent="0.2">
      <c r="A4" s="221" t="s">
        <v>394</v>
      </c>
      <c r="C4" s="184" t="s">
        <v>98</v>
      </c>
      <c r="J4" s="159"/>
      <c r="V4" s="1"/>
      <c r="W4" s="1"/>
      <c r="X4" s="1"/>
      <c r="Y4" s="1"/>
      <c r="Z4" s="1"/>
      <c r="AA4" s="1"/>
      <c r="AB4" s="1"/>
      <c r="AC4" s="1"/>
      <c r="AD4" s="1"/>
    </row>
    <row r="5" spans="1:30" ht="12.95" customHeight="1" x14ac:dyDescent="0.2">
      <c r="A5" s="221" t="s">
        <v>397</v>
      </c>
      <c r="C5" s="207" t="s">
        <v>376</v>
      </c>
      <c r="J5" s="159"/>
      <c r="V5" s="1"/>
      <c r="W5" s="1"/>
      <c r="X5" s="1"/>
      <c r="Y5" s="1"/>
      <c r="Z5" s="1"/>
      <c r="AA5" s="1"/>
      <c r="AB5" s="1"/>
      <c r="AC5" s="1"/>
      <c r="AD5" s="1"/>
    </row>
    <row r="6" spans="1:30" ht="12.95" customHeight="1" x14ac:dyDescent="0.2">
      <c r="A6" s="221" t="s">
        <v>414</v>
      </c>
      <c r="B6" s="1" t="s">
        <v>68</v>
      </c>
      <c r="C6" s="2"/>
      <c r="V6" s="1"/>
      <c r="W6" s="1"/>
      <c r="X6" s="1"/>
      <c r="Y6" s="1"/>
      <c r="Z6" s="1"/>
      <c r="AA6" s="1"/>
      <c r="AB6" s="1"/>
      <c r="AC6" s="1"/>
      <c r="AD6" s="1"/>
    </row>
    <row r="7" spans="1:30" ht="12.95" customHeight="1" x14ac:dyDescent="0.2">
      <c r="A7" s="212"/>
      <c r="B7" s="5"/>
      <c r="C7" s="2"/>
      <c r="V7" s="1"/>
      <c r="W7" s="1"/>
      <c r="X7" s="1"/>
      <c r="Y7" s="1"/>
      <c r="Z7" s="1"/>
      <c r="AA7" s="1"/>
      <c r="AB7" s="1"/>
      <c r="AC7" s="1"/>
      <c r="AD7" s="1"/>
    </row>
    <row r="8" spans="1:30" ht="12.95" customHeight="1" x14ac:dyDescent="0.2">
      <c r="A8" s="211">
        <v>106</v>
      </c>
      <c r="B8" s="5" t="s">
        <v>43</v>
      </c>
      <c r="C8" s="160" t="s">
        <v>946</v>
      </c>
      <c r="D8" s="5"/>
      <c r="E8" s="5"/>
      <c r="F8" s="5"/>
      <c r="I8" s="5"/>
      <c r="J8" s="5"/>
      <c r="K8" s="5"/>
      <c r="M8" s="5"/>
      <c r="O8" s="152"/>
      <c r="Q8" s="152"/>
      <c r="V8" s="1"/>
      <c r="W8" s="1"/>
      <c r="X8" s="1"/>
      <c r="Y8" s="1"/>
      <c r="Z8" s="1"/>
      <c r="AA8" s="1"/>
      <c r="AB8" s="1"/>
      <c r="AC8" s="1"/>
      <c r="AD8" s="1"/>
    </row>
    <row r="9" spans="1:30" ht="12.95" customHeight="1" x14ac:dyDescent="0.2">
      <c r="A9" s="212"/>
      <c r="B9" s="5"/>
      <c r="C9" s="152" t="s">
        <v>947</v>
      </c>
      <c r="D9" s="5"/>
      <c r="E9" s="5"/>
      <c r="F9" s="5"/>
      <c r="I9" s="5"/>
      <c r="J9" s="5"/>
      <c r="K9" s="5"/>
      <c r="M9" s="5"/>
      <c r="O9" s="152"/>
      <c r="Q9" s="152"/>
      <c r="V9" s="1"/>
      <c r="W9" s="1"/>
      <c r="X9" s="1"/>
      <c r="Y9" s="1"/>
      <c r="Z9" s="1"/>
      <c r="AA9" s="1"/>
      <c r="AB9" s="1"/>
      <c r="AC9" s="1"/>
      <c r="AD9" s="1"/>
    </row>
    <row r="10" spans="1:30" ht="12.95" customHeight="1" x14ac:dyDescent="0.2">
      <c r="A10" s="212"/>
      <c r="B10" s="5"/>
      <c r="C10" s="152"/>
      <c r="D10" s="5"/>
      <c r="E10" s="5"/>
      <c r="F10" s="5"/>
      <c r="I10" s="5"/>
      <c r="J10" s="5"/>
      <c r="K10" s="5"/>
      <c r="M10" s="5"/>
      <c r="O10" s="152"/>
      <c r="Q10" s="152"/>
      <c r="V10" s="1"/>
      <c r="W10" s="1"/>
      <c r="X10" s="1"/>
      <c r="Y10" s="1"/>
      <c r="Z10" s="1"/>
      <c r="AA10" s="1"/>
      <c r="AB10" s="1"/>
      <c r="AC10" s="1"/>
      <c r="AD10" s="1"/>
    </row>
    <row r="11" spans="1:30" ht="12.95" customHeight="1" x14ac:dyDescent="0.2">
      <c r="A11" s="212"/>
      <c r="B11" s="5"/>
      <c r="C11" s="5"/>
      <c r="D11" s="5"/>
      <c r="E11" s="5"/>
      <c r="F11" s="5"/>
      <c r="I11" s="5"/>
      <c r="J11" s="5"/>
      <c r="K11" s="5"/>
      <c r="M11" s="5"/>
      <c r="V11" s="1"/>
      <c r="W11" s="1"/>
      <c r="X11" s="1"/>
      <c r="Y11" s="1"/>
      <c r="Z11" s="1"/>
      <c r="AA11" s="1"/>
      <c r="AB11" s="1"/>
      <c r="AC11" s="1"/>
      <c r="AD11" s="1"/>
    </row>
    <row r="12" spans="1:30" ht="12.95" customHeight="1" x14ac:dyDescent="0.2">
      <c r="A12" s="211">
        <v>107</v>
      </c>
      <c r="B12" s="5" t="s">
        <v>44</v>
      </c>
      <c r="C12" s="160" t="s">
        <v>948</v>
      </c>
      <c r="D12" s="5"/>
      <c r="E12" s="5"/>
      <c r="F12" s="5"/>
      <c r="I12" s="5"/>
      <c r="J12" s="5"/>
      <c r="K12" s="5"/>
      <c r="M12" s="5"/>
      <c r="O12" s="152"/>
      <c r="Q12" s="152"/>
      <c r="V12" s="1"/>
      <c r="W12" s="1"/>
      <c r="X12" s="1"/>
      <c r="Y12" s="1"/>
      <c r="Z12" s="1"/>
      <c r="AA12" s="1"/>
      <c r="AB12" s="1"/>
      <c r="AC12" s="1"/>
      <c r="AD12" s="1"/>
    </row>
    <row r="13" spans="1:30" ht="12.95" customHeight="1" x14ac:dyDescent="0.2">
      <c r="A13" s="212"/>
      <c r="S13" s="2"/>
      <c r="T13" s="2"/>
      <c r="U13" s="2"/>
      <c r="X13" s="51"/>
    </row>
    <row r="14" spans="1:30" s="51" customFormat="1" ht="84" customHeight="1" x14ac:dyDescent="0.2">
      <c r="A14" s="211">
        <v>108</v>
      </c>
      <c r="B14" s="161" t="s">
        <v>229</v>
      </c>
      <c r="C14" s="161" t="str">
        <f>IF(W14&gt;10,X15,IF(W14&gt;0,X14,""))</f>
        <v>115a: Der mit dem Holzkessel erzeugte Anteil an der Jahreswärmemenge ist gering, 120d: Der Brennstoffpreis der Zusatzwärmeerzeugung ist sehr tief, 160b: Die Kreditlaufzeit sollte nicht über 25 Jahren liegen!, 160b: Die Kreditlaufzeit sollte nicht über 25 Jahren liegen!</v>
      </c>
      <c r="D14" s="161"/>
      <c r="E14" s="161"/>
      <c r="F14" s="161"/>
      <c r="I14" s="161"/>
      <c r="J14" s="161"/>
      <c r="K14" s="161"/>
      <c r="M14" s="161"/>
      <c r="O14" s="152"/>
      <c r="Q14" s="152"/>
      <c r="S14" s="2"/>
      <c r="T14" s="2"/>
      <c r="U14" s="2"/>
      <c r="V14" s="2"/>
      <c r="W14" s="2">
        <f>COUNTIF(U17:W164,"&gt;0")</f>
        <v>3</v>
      </c>
      <c r="X14" s="51" t="str">
        <f>_xlfn.TEXTJOIN(", ",TRUE,X18:X164)</f>
        <v>115a: Der mit dem Holzkessel erzeugte Anteil an der Jahreswärmemenge ist gering, 120d: Der Brennstoffpreis der Zusatzwärmeerzeugung ist sehr tief, 160b: Die Kreditlaufzeit sollte nicht über 25 Jahren liegen!, 160b: Die Kreditlaufzeit sollte nicht über 25 Jahren liegen!</v>
      </c>
    </row>
    <row r="15" spans="1:30" ht="12.95" customHeight="1" x14ac:dyDescent="0.2">
      <c r="A15" s="212"/>
      <c r="S15" s="2"/>
      <c r="T15" s="2"/>
      <c r="U15" s="2"/>
      <c r="X15" s="2" t="s">
        <v>905</v>
      </c>
      <c r="Y15" s="2" t="s">
        <v>906</v>
      </c>
    </row>
    <row r="16" spans="1:30" s="5" customFormat="1" ht="12.95" customHeight="1" x14ac:dyDescent="0.2">
      <c r="A16" s="212"/>
      <c r="C16" s="8"/>
      <c r="E16" s="1"/>
      <c r="F16" s="1"/>
      <c r="G16" s="1"/>
      <c r="H16" s="1"/>
      <c r="I16" s="1"/>
      <c r="J16" s="1"/>
      <c r="K16" s="1"/>
      <c r="L16" s="1"/>
      <c r="M16" s="1"/>
      <c r="N16" s="1"/>
      <c r="O16" s="1"/>
      <c r="P16" s="1"/>
      <c r="Q16" s="1"/>
      <c r="R16" s="1"/>
      <c r="S16" s="2" t="s">
        <v>16</v>
      </c>
      <c r="T16" s="2" t="s">
        <v>17</v>
      </c>
      <c r="U16" s="2" t="s">
        <v>21</v>
      </c>
      <c r="V16" s="2" t="s">
        <v>20</v>
      </c>
      <c r="W16" s="2" t="s">
        <v>35</v>
      </c>
      <c r="X16" s="2" t="s">
        <v>5</v>
      </c>
      <c r="Y16" s="2" t="s">
        <v>32</v>
      </c>
      <c r="Z16" s="2" t="s">
        <v>33</v>
      </c>
      <c r="AA16" s="2" t="s">
        <v>34</v>
      </c>
      <c r="AB16" s="9"/>
      <c r="AC16" s="9"/>
      <c r="AD16" s="9"/>
    </row>
    <row r="17" spans="1:27" ht="12.95" customHeight="1" x14ac:dyDescent="0.2">
      <c r="A17" s="211">
        <v>110</v>
      </c>
      <c r="B17" s="5" t="s">
        <v>135</v>
      </c>
      <c r="S17" s="2"/>
      <c r="T17" s="2"/>
      <c r="U17" s="2"/>
    </row>
    <row r="18" spans="1:27" ht="12.95" customHeight="1" x14ac:dyDescent="0.2">
      <c r="A18" s="221" t="s">
        <v>62</v>
      </c>
      <c r="C18" s="45" t="s">
        <v>821</v>
      </c>
      <c r="D18" s="6">
        <f>SUM(E3_Verbraucher!$D$18:$XFD$18)</f>
        <v>17503</v>
      </c>
      <c r="E18" s="1" t="s">
        <v>13</v>
      </c>
      <c r="O18" s="152"/>
      <c r="Q18" s="152"/>
      <c r="S18" s="2">
        <v>10</v>
      </c>
      <c r="T18" s="2">
        <v>9999999999</v>
      </c>
      <c r="U18" s="2">
        <f>IF($D18&lt;S18,1,0)</f>
        <v>0</v>
      </c>
      <c r="V18" s="2">
        <f>IF($D18&gt;T18,1,0)</f>
        <v>0</v>
      </c>
      <c r="X18" s="2" t="str">
        <f>IF(U18=1,Y18,IF(V18=1,Z18,IF(W18=1,AA18,"")))</f>
        <v/>
      </c>
      <c r="Y18" s="2" t="s">
        <v>448</v>
      </c>
      <c r="Z18" s="2" t="s">
        <v>447</v>
      </c>
    </row>
    <row r="19" spans="1:27" ht="12.95" customHeight="1" x14ac:dyDescent="0.2">
      <c r="A19" s="221" t="s">
        <v>394</v>
      </c>
      <c r="C19" s="45" t="s">
        <v>94</v>
      </c>
      <c r="D19" s="187">
        <v>10</v>
      </c>
      <c r="E19" s="1" t="s">
        <v>12</v>
      </c>
      <c r="K19" s="207">
        <v>10</v>
      </c>
      <c r="O19" s="152"/>
      <c r="Q19" s="152"/>
      <c r="S19" s="2">
        <v>4</v>
      </c>
      <c r="T19" s="2">
        <v>20</v>
      </c>
      <c r="U19" s="2">
        <f>IF($D19&lt;S19,1,0)</f>
        <v>0</v>
      </c>
      <c r="V19" s="2">
        <f>IF($D19&gt;T19,1,0)</f>
        <v>0</v>
      </c>
      <c r="W19" s="2">
        <f>IF(D19="",1,0)</f>
        <v>0</v>
      </c>
      <c r="X19" s="2" t="str">
        <f>IF(U19&gt;0,Y19,"")&amp;IF(V19&gt;0,Z19,"")&amp;IF(W19&gt;0,AA19,"")</f>
        <v/>
      </c>
      <c r="Y19" s="2" t="s">
        <v>449</v>
      </c>
      <c r="Z19" s="2" t="s">
        <v>450</v>
      </c>
      <c r="AA19" s="2" t="s">
        <v>451</v>
      </c>
    </row>
    <row r="20" spans="1:27" ht="12.95" customHeight="1" x14ac:dyDescent="0.2">
      <c r="A20" s="214" t="s">
        <v>395</v>
      </c>
      <c r="C20" s="45" t="s">
        <v>261</v>
      </c>
      <c r="D20" s="257">
        <v>1</v>
      </c>
      <c r="E20" s="1" t="s">
        <v>12</v>
      </c>
      <c r="O20" s="152"/>
      <c r="Q20" s="152"/>
      <c r="S20" s="2">
        <v>0</v>
      </c>
      <c r="T20" s="2">
        <v>5</v>
      </c>
      <c r="U20" s="2">
        <f>IF($D20&lt;S20,1,0)</f>
        <v>0</v>
      </c>
      <c r="V20" s="2">
        <f>IF($D20&gt;T20,1,0)</f>
        <v>0</v>
      </c>
      <c r="W20" s="2">
        <f>IF(D20="",1,0)</f>
        <v>0</v>
      </c>
      <c r="X20" s="2" t="str">
        <f>IF(U20&gt;0,Y20,"")&amp;IF(V20&gt;0,Z20,"")&amp;IF(W20&gt;0,AA20,"")</f>
        <v/>
      </c>
      <c r="Y20" s="2" t="s">
        <v>452</v>
      </c>
      <c r="Z20" s="2" t="s">
        <v>453</v>
      </c>
      <c r="AA20" s="2" t="s">
        <v>454</v>
      </c>
    </row>
    <row r="21" spans="1:27" ht="12.95" customHeight="1" x14ac:dyDescent="0.2">
      <c r="A21" s="212"/>
      <c r="S21" s="2"/>
      <c r="T21" s="2"/>
      <c r="U21" s="2"/>
      <c r="Z21" s="1"/>
    </row>
    <row r="22" spans="1:27" ht="12.95" customHeight="1" x14ac:dyDescent="0.2">
      <c r="A22" s="221" t="s">
        <v>403</v>
      </c>
      <c r="C22" s="45" t="s">
        <v>26</v>
      </c>
      <c r="D22" s="258">
        <v>2024</v>
      </c>
      <c r="O22" s="152"/>
      <c r="Q22" s="152"/>
      <c r="S22" s="2">
        <v>2000</v>
      </c>
      <c r="T22" s="2">
        <v>2100</v>
      </c>
      <c r="U22" s="2">
        <f>IF($D22&lt;S22,1,0)</f>
        <v>0</v>
      </c>
      <c r="V22" s="2">
        <f>IF($D22&gt;T22,1,0)</f>
        <v>0</v>
      </c>
      <c r="X22" s="2" t="str">
        <f>IF(U22&gt;0,Y22,"")&amp;IF(V22&gt;0,Z22,"")&amp;IF(W22&gt;0,AA22,"")</f>
        <v/>
      </c>
      <c r="Y22" s="2" t="s">
        <v>455</v>
      </c>
      <c r="Z22" s="2" t="s">
        <v>456</v>
      </c>
    </row>
    <row r="23" spans="1:27" ht="12.95" customHeight="1" x14ac:dyDescent="0.2">
      <c r="A23" s="221" t="s">
        <v>404</v>
      </c>
      <c r="C23" s="45" t="s">
        <v>106</v>
      </c>
      <c r="D23" s="187">
        <f>MIN(E3_Verbraucher!D21:XFD21)</f>
        <v>2026</v>
      </c>
      <c r="K23" s="209">
        <f>MIN(E3_Verbraucher!D21:XFD21)</f>
        <v>2026</v>
      </c>
      <c r="O23" s="152"/>
      <c r="Q23" s="152"/>
      <c r="S23" s="2">
        <f>Eing_Beginnjahr</f>
        <v>2024</v>
      </c>
      <c r="T23" s="2">
        <f>S23+3</f>
        <v>2027</v>
      </c>
      <c r="U23" s="2">
        <f>IF($D23&lt;S23,D23,0)</f>
        <v>0</v>
      </c>
      <c r="V23" s="2">
        <f>IF($D23&gt;T23,1,0)</f>
        <v>0</v>
      </c>
      <c r="X23" s="2" t="str">
        <f>IF(U23&gt;0,Y23,"")&amp;IF(V23&gt;0,Z23,"")&amp;IF(W23&gt;0,AA23,"")</f>
        <v/>
      </c>
      <c r="Y23" s="2" t="s">
        <v>457</v>
      </c>
      <c r="Z23" s="2" t="s">
        <v>458</v>
      </c>
    </row>
    <row r="24" spans="1:27" ht="12.95" customHeight="1" x14ac:dyDescent="0.2">
      <c r="A24" s="212"/>
      <c r="C24" s="45"/>
      <c r="D24" s="49"/>
      <c r="S24" s="2"/>
      <c r="T24" s="2"/>
      <c r="U24" s="2"/>
    </row>
    <row r="25" spans="1:27" ht="12.95" customHeight="1" x14ac:dyDescent="0.2">
      <c r="A25" s="221">
        <v>115</v>
      </c>
      <c r="B25" s="5" t="s">
        <v>313</v>
      </c>
      <c r="D25" s="4"/>
      <c r="S25" s="2"/>
      <c r="T25" s="2"/>
      <c r="U25" s="2"/>
    </row>
    <row r="26" spans="1:27" ht="12.95" customHeight="1" x14ac:dyDescent="0.2">
      <c r="A26" s="221" t="s">
        <v>62</v>
      </c>
      <c r="C26" s="45" t="s">
        <v>382</v>
      </c>
      <c r="D26" s="259">
        <v>60</v>
      </c>
      <c r="E26" s="1" t="s">
        <v>12</v>
      </c>
      <c r="O26" s="152"/>
      <c r="Q26" s="152"/>
      <c r="S26" s="2">
        <v>70</v>
      </c>
      <c r="T26" s="2">
        <v>100</v>
      </c>
      <c r="U26" s="2">
        <f t="shared" ref="U26:U27" si="0">IF($D26&lt;S26,1,0)</f>
        <v>1</v>
      </c>
      <c r="V26" s="2">
        <f t="shared" ref="V26:V31" si="1">IF($D26&gt;T26,1,0)</f>
        <v>0</v>
      </c>
      <c r="X26" s="2" t="str">
        <f t="shared" ref="X26:X31" si="2">IF(U26&gt;0,Y26,"")&amp;IF(V26&gt;0,Z26,"")&amp;IF(W26&gt;0,AA26,"")</f>
        <v>115a: Der mit dem Holzkessel erzeugte Anteil an der Jahreswärmemenge ist gering</v>
      </c>
      <c r="Y26" s="2" t="s">
        <v>460</v>
      </c>
      <c r="Z26" s="2" t="s">
        <v>459</v>
      </c>
    </row>
    <row r="27" spans="1:27" s="191" customFormat="1" ht="13.15" customHeight="1" x14ac:dyDescent="0.2">
      <c r="A27" s="221" t="s">
        <v>394</v>
      </c>
      <c r="C27" s="45" t="s">
        <v>379</v>
      </c>
      <c r="D27" s="259"/>
      <c r="E27" s="1" t="s">
        <v>12</v>
      </c>
      <c r="O27" s="193"/>
      <c r="Q27" s="193"/>
      <c r="S27" s="2">
        <v>0</v>
      </c>
      <c r="T27" s="2">
        <f>0.2*Eing_Anteil_Biomasse</f>
        <v>12</v>
      </c>
      <c r="U27" s="2">
        <f t="shared" si="0"/>
        <v>0</v>
      </c>
      <c r="V27" s="2">
        <f t="shared" si="1"/>
        <v>0</v>
      </c>
      <c r="W27" s="2"/>
      <c r="X27" s="2" t="str">
        <f t="shared" si="2"/>
        <v/>
      </c>
      <c r="Y27" s="2" t="s">
        <v>462</v>
      </c>
      <c r="Z27" s="2" t="s">
        <v>464</v>
      </c>
      <c r="AA27" s="2"/>
    </row>
    <row r="28" spans="1:27" s="191" customFormat="1" ht="13.15" customHeight="1" x14ac:dyDescent="0.2">
      <c r="A28" s="221" t="s">
        <v>395</v>
      </c>
      <c r="C28" s="45" t="s">
        <v>377</v>
      </c>
      <c r="D28" s="259">
        <v>30</v>
      </c>
      <c r="E28" s="1" t="s">
        <v>12</v>
      </c>
      <c r="O28" s="193"/>
      <c r="Q28" s="193"/>
      <c r="S28" s="2">
        <v>10</v>
      </c>
      <c r="T28" s="2">
        <v>100</v>
      </c>
      <c r="U28" s="2">
        <f>IF(AND($D28&gt;0,$D28&lt;S28),1,0)</f>
        <v>0</v>
      </c>
      <c r="V28" s="2">
        <f t="shared" si="1"/>
        <v>0</v>
      </c>
      <c r="W28" s="2"/>
      <c r="X28" s="2" t="str">
        <f t="shared" si="2"/>
        <v/>
      </c>
      <c r="Y28" s="2" t="s">
        <v>461</v>
      </c>
      <c r="Z28" s="2" t="s">
        <v>465</v>
      </c>
      <c r="AA28" s="2"/>
    </row>
    <row r="29" spans="1:27" s="191" customFormat="1" ht="13.15" customHeight="1" x14ac:dyDescent="0.2">
      <c r="A29" s="221" t="s">
        <v>396</v>
      </c>
      <c r="C29" s="45" t="s">
        <v>316</v>
      </c>
      <c r="D29" s="259"/>
      <c r="E29" s="1" t="s">
        <v>12</v>
      </c>
      <c r="O29" s="193"/>
      <c r="Q29" s="193"/>
      <c r="S29" s="2">
        <v>5</v>
      </c>
      <c r="T29" s="2">
        <v>100</v>
      </c>
      <c r="U29" s="2">
        <f t="shared" ref="U29:U31" si="3">IF(AND($D29&gt;0,$D29&lt;S29),1,0)</f>
        <v>0</v>
      </c>
      <c r="V29" s="2">
        <f t="shared" si="1"/>
        <v>0</v>
      </c>
      <c r="W29" s="2"/>
      <c r="X29" s="2" t="str">
        <f t="shared" si="2"/>
        <v/>
      </c>
      <c r="Y29" s="2" t="s">
        <v>466</v>
      </c>
      <c r="Z29" s="2" t="s">
        <v>463</v>
      </c>
      <c r="AA29" s="2"/>
    </row>
    <row r="30" spans="1:27" s="191" customFormat="1" ht="13.15" customHeight="1" x14ac:dyDescent="0.2">
      <c r="A30" s="221" t="s">
        <v>397</v>
      </c>
      <c r="C30" s="45" t="s">
        <v>378</v>
      </c>
      <c r="D30" s="259"/>
      <c r="E30" s="1" t="s">
        <v>12</v>
      </c>
      <c r="O30" s="193"/>
      <c r="Q30" s="193"/>
      <c r="S30" s="2">
        <v>10</v>
      </c>
      <c r="T30" s="2">
        <v>100</v>
      </c>
      <c r="U30" s="2">
        <f t="shared" si="3"/>
        <v>0</v>
      </c>
      <c r="V30" s="2">
        <f t="shared" si="1"/>
        <v>0</v>
      </c>
      <c r="W30" s="2"/>
      <c r="X30" s="2" t="str">
        <f t="shared" si="2"/>
        <v/>
      </c>
      <c r="Y30" s="2" t="s">
        <v>467</v>
      </c>
      <c r="Z30" s="2" t="s">
        <v>468</v>
      </c>
      <c r="AA30" s="2"/>
    </row>
    <row r="31" spans="1:27" s="191" customFormat="1" ht="13.15" customHeight="1" x14ac:dyDescent="0.2">
      <c r="A31" s="221" t="s">
        <v>405</v>
      </c>
      <c r="C31" s="45" t="s">
        <v>317</v>
      </c>
      <c r="D31" s="259"/>
      <c r="E31" s="1" t="s">
        <v>12</v>
      </c>
      <c r="O31" s="193"/>
      <c r="Q31" s="193"/>
      <c r="S31" s="2">
        <v>5</v>
      </c>
      <c r="T31" s="2">
        <v>100</v>
      </c>
      <c r="U31" s="2">
        <f t="shared" si="3"/>
        <v>0</v>
      </c>
      <c r="V31" s="2">
        <f t="shared" si="1"/>
        <v>0</v>
      </c>
      <c r="W31" s="2"/>
      <c r="X31" s="2" t="str">
        <f t="shared" si="2"/>
        <v/>
      </c>
      <c r="Y31" s="2" t="s">
        <v>469</v>
      </c>
      <c r="Z31" s="2" t="s">
        <v>470</v>
      </c>
      <c r="AA31" s="2"/>
    </row>
    <row r="32" spans="1:27" ht="12.95" customHeight="1" x14ac:dyDescent="0.2">
      <c r="A32" s="221" t="s">
        <v>403</v>
      </c>
      <c r="C32" s="45" t="s">
        <v>137</v>
      </c>
      <c r="D32" s="244">
        <f>100-SUM(D26:D31)</f>
        <v>10</v>
      </c>
      <c r="E32" s="1" t="s">
        <v>12</v>
      </c>
      <c r="O32" s="152"/>
      <c r="Q32" s="152"/>
      <c r="S32" s="2"/>
      <c r="T32" s="2"/>
      <c r="U32" s="2"/>
    </row>
    <row r="33" spans="1:34" s="191" customFormat="1" ht="13.15" customHeight="1" x14ac:dyDescent="0.2">
      <c r="A33" s="221" t="s">
        <v>409</v>
      </c>
      <c r="C33" s="45" t="s">
        <v>380</v>
      </c>
      <c r="D33" s="259">
        <v>40</v>
      </c>
      <c r="E33" s="1" t="s">
        <v>12</v>
      </c>
      <c r="O33" s="193"/>
      <c r="Q33" s="193"/>
      <c r="S33" s="2">
        <v>30</v>
      </c>
      <c r="T33" s="2">
        <v>100</v>
      </c>
      <c r="U33" s="2">
        <f>IF(Eing_Anteil_WKK=0,0,IF($D33&lt;S33,1,0))</f>
        <v>0</v>
      </c>
      <c r="V33" s="2">
        <f>IF(Eing_Anteil_WKK=0,0,IF($D33&gt;T33,1,0))</f>
        <v>0</v>
      </c>
      <c r="W33" s="2"/>
      <c r="X33" s="2" t="str">
        <f t="shared" ref="X33:X36" si="4">IF(U33&gt;0,Y33,"")&amp;IF(V33&gt;0,Z33,"")&amp;IF(W33&gt;0,AA33,"")</f>
        <v/>
      </c>
      <c r="Y33" s="2" t="s">
        <v>471</v>
      </c>
      <c r="Z33" s="2" t="s">
        <v>472</v>
      </c>
      <c r="AA33" s="2"/>
    </row>
    <row r="34" spans="1:34" s="191" customFormat="1" ht="13.15" customHeight="1" x14ac:dyDescent="0.2">
      <c r="A34" s="221" t="s">
        <v>410</v>
      </c>
      <c r="C34" s="45" t="s">
        <v>318</v>
      </c>
      <c r="D34" s="259">
        <v>28.5</v>
      </c>
      <c r="E34" s="1" t="s">
        <v>12</v>
      </c>
      <c r="O34" s="193"/>
      <c r="Q34" s="193"/>
      <c r="S34" s="2">
        <v>10</v>
      </c>
      <c r="T34" s="2">
        <v>50</v>
      </c>
      <c r="U34" s="2">
        <f>IF(Eing_Anteil_WKK=0,0,IF($D34&lt;S34,1,0))</f>
        <v>0</v>
      </c>
      <c r="V34" s="2">
        <f>IF(Eing_Anteil_WKK=0,0,IF($D34&gt;T34,1,0))</f>
        <v>0</v>
      </c>
      <c r="W34" s="2"/>
      <c r="X34" s="2" t="str">
        <f t="shared" si="4"/>
        <v/>
      </c>
      <c r="Y34" s="2" t="s">
        <v>473</v>
      </c>
      <c r="Z34" s="2" t="s">
        <v>474</v>
      </c>
      <c r="AA34" s="2"/>
    </row>
    <row r="35" spans="1:34" s="191" customFormat="1" ht="13.15" customHeight="1" x14ac:dyDescent="0.2">
      <c r="A35" s="221" t="s">
        <v>412</v>
      </c>
      <c r="C35" s="45" t="s">
        <v>381</v>
      </c>
      <c r="D35" s="259"/>
      <c r="E35" s="1" t="s">
        <v>12</v>
      </c>
      <c r="O35" s="193"/>
      <c r="Q35" s="193"/>
      <c r="S35" s="2">
        <v>40</v>
      </c>
      <c r="T35" s="2">
        <v>90</v>
      </c>
      <c r="U35" s="2">
        <f>IF(Eing_Anteil_WP=0,0,IF($D35&lt;S35,1,0))</f>
        <v>0</v>
      </c>
      <c r="V35" s="2">
        <f>IF(Eing_Anteil_WP=0,0,IF($D35&gt;T35,1,0))</f>
        <v>0</v>
      </c>
      <c r="W35" s="2"/>
      <c r="X35" s="2" t="str">
        <f t="shared" ref="X35" si="5">IF(U35&gt;0,Y35,"")&amp;IF(V35&gt;0,Z35,"")&amp;IF(W35&gt;0,AA35,"")</f>
        <v/>
      </c>
      <c r="Y35" s="2" t="s">
        <v>475</v>
      </c>
      <c r="Z35" s="2" t="s">
        <v>476</v>
      </c>
      <c r="AA35" s="2"/>
    </row>
    <row r="36" spans="1:34" s="191" customFormat="1" ht="13.15" customHeight="1" x14ac:dyDescent="0.2">
      <c r="A36" s="221" t="s">
        <v>411</v>
      </c>
      <c r="C36" s="45" t="s">
        <v>319</v>
      </c>
      <c r="D36" s="259"/>
      <c r="E36" s="283" t="s">
        <v>320</v>
      </c>
      <c r="O36" s="193"/>
      <c r="Q36" s="193"/>
      <c r="S36" s="2">
        <v>1</v>
      </c>
      <c r="T36" s="2">
        <v>10</v>
      </c>
      <c r="U36" s="2">
        <f>IF(Eing_Anteil_WP=0,0,IF($D36&lt;S36,1,0))</f>
        <v>0</v>
      </c>
      <c r="V36" s="2">
        <f>IF(Eing_Anteil_WP=0,0,IF($D36&gt;T36,1,0))</f>
        <v>0</v>
      </c>
      <c r="W36" s="2"/>
      <c r="X36" s="2" t="str">
        <f t="shared" si="4"/>
        <v/>
      </c>
      <c r="Y36" s="2" t="s">
        <v>477</v>
      </c>
      <c r="Z36" s="2" t="s">
        <v>478</v>
      </c>
      <c r="AA36" s="2"/>
    </row>
    <row r="37" spans="1:34" ht="12.95" customHeight="1" x14ac:dyDescent="0.2">
      <c r="A37" s="214" t="s">
        <v>419</v>
      </c>
      <c r="C37" s="45" t="s">
        <v>78</v>
      </c>
      <c r="D37" s="259">
        <v>85</v>
      </c>
      <c r="E37" s="1" t="s">
        <v>12</v>
      </c>
      <c r="O37" s="152"/>
      <c r="Q37" s="152"/>
      <c r="S37" s="2">
        <v>40</v>
      </c>
      <c r="T37" s="2">
        <v>98</v>
      </c>
      <c r="U37" s="2">
        <f>IF(Anteil_fossil_erzeugt=0,0,IF($D37&lt;S37,1,0))</f>
        <v>0</v>
      </c>
      <c r="V37" s="2">
        <f>IF(Anteil_fossil_erzeugt=0,0,IF($D37&gt;T37,1,0))</f>
        <v>0</v>
      </c>
      <c r="W37" s="2">
        <f>IF(Anteil_fossil_erzeugt=0,0,IF(D37="",1,0))</f>
        <v>0</v>
      </c>
      <c r="X37" s="2" t="str">
        <f>IF(U37&gt;0,Y37,"")&amp;IF(V37&gt;0,Z37,"")&amp;IF(W37&gt;0,AA37,"")</f>
        <v/>
      </c>
      <c r="Y37" s="2" t="s">
        <v>929</v>
      </c>
      <c r="Z37" s="2" t="s">
        <v>930</v>
      </c>
    </row>
    <row r="38" spans="1:34" s="191" customFormat="1" ht="13.15" customHeight="1" x14ac:dyDescent="0.2">
      <c r="A38" s="221" t="s">
        <v>479</v>
      </c>
      <c r="C38" s="45" t="s">
        <v>858</v>
      </c>
      <c r="D38" s="259"/>
      <c r="E38" s="1" t="s">
        <v>12</v>
      </c>
      <c r="O38" s="193"/>
      <c r="Q38" s="193"/>
      <c r="S38" s="2">
        <v>0</v>
      </c>
      <c r="T38" s="2">
        <v>100</v>
      </c>
      <c r="U38" s="2">
        <f>IF($D38&lt;S38,1,0)</f>
        <v>0</v>
      </c>
      <c r="V38" s="2">
        <f>IF($D38&gt;T38,1,0)</f>
        <v>0</v>
      </c>
      <c r="W38" s="2"/>
      <c r="X38" s="2" t="str">
        <f t="shared" ref="X38" si="6">IF(U38&gt;0,Y38,"")&amp;IF(V38&gt;0,Z38,"")&amp;IF(W38&gt;0,AA38,"")</f>
        <v/>
      </c>
      <c r="Y38" s="2" t="s">
        <v>482</v>
      </c>
      <c r="Z38" s="2" t="s">
        <v>483</v>
      </c>
    </row>
    <row r="39" spans="1:34" ht="12.95" customHeight="1" x14ac:dyDescent="0.2">
      <c r="A39" s="221" t="s">
        <v>480</v>
      </c>
      <c r="C39" s="45" t="s">
        <v>69</v>
      </c>
      <c r="D39" s="188">
        <v>2</v>
      </c>
      <c r="E39" s="1" t="s">
        <v>70</v>
      </c>
      <c r="K39" s="286">
        <v>2</v>
      </c>
      <c r="O39" s="152"/>
      <c r="Q39" s="152"/>
      <c r="S39" s="2">
        <v>1</v>
      </c>
      <c r="T39" s="2">
        <v>3</v>
      </c>
      <c r="U39" s="2">
        <f>IF($D39&lt;S39,1,0)</f>
        <v>0</v>
      </c>
      <c r="V39" s="2">
        <f>IF($D39&gt;T39,1,0)</f>
        <v>0</v>
      </c>
      <c r="W39" s="2">
        <f>IF(Eing_Spez_Stromverbrauch=0,1,0)</f>
        <v>0</v>
      </c>
      <c r="X39" s="2" t="str">
        <f>IF(U39&gt;0,Y39,"")&amp;IF(V39&gt;0,Z39,"")&amp;IF(W39&gt;0,AA39,"")</f>
        <v/>
      </c>
      <c r="Y39" s="2" t="s">
        <v>484</v>
      </c>
      <c r="Z39" s="2" t="s">
        <v>485</v>
      </c>
      <c r="AA39" s="2" t="s">
        <v>488</v>
      </c>
    </row>
    <row r="40" spans="1:34" s="191" customFormat="1" ht="13.15" customHeight="1" x14ac:dyDescent="0.2">
      <c r="A40" s="221" t="s">
        <v>421</v>
      </c>
      <c r="C40" s="45" t="s">
        <v>859</v>
      </c>
      <c r="D40" s="259">
        <v>80</v>
      </c>
      <c r="E40" s="1" t="s">
        <v>12</v>
      </c>
      <c r="O40" s="193"/>
      <c r="Q40" s="193"/>
      <c r="S40" s="2">
        <v>0</v>
      </c>
      <c r="T40" s="2">
        <v>100</v>
      </c>
      <c r="U40" s="2">
        <f>IF(0&lt;$D40&lt;S40,1,0)</f>
        <v>0</v>
      </c>
      <c r="V40" s="2">
        <f>IF($D40&gt;T40,1,0)</f>
        <v>0</v>
      </c>
      <c r="W40" s="2"/>
      <c r="X40" s="2" t="str">
        <f t="shared" ref="X40:X41" si="7">IF(U40&gt;0,Y40,"")&amp;IF(V40&gt;0,Z40,"")&amp;IF(W40&gt;0,AA40,"")</f>
        <v/>
      </c>
      <c r="Y40" s="2" t="s">
        <v>489</v>
      </c>
      <c r="Z40" s="2" t="s">
        <v>490</v>
      </c>
    </row>
    <row r="41" spans="1:34" s="191" customFormat="1" ht="13.15" customHeight="1" x14ac:dyDescent="0.2">
      <c r="A41" s="221" t="s">
        <v>481</v>
      </c>
      <c r="C41" s="45" t="s">
        <v>393</v>
      </c>
      <c r="D41" s="260">
        <v>1200</v>
      </c>
      <c r="E41" s="345" t="s">
        <v>321</v>
      </c>
      <c r="O41" s="193"/>
      <c r="Q41" s="193"/>
      <c r="S41" s="2">
        <v>0</v>
      </c>
      <c r="T41" s="2">
        <f>5*max_verkaufteWM*Eing_Anteil_WKK*1000</f>
        <v>2625450000</v>
      </c>
      <c r="U41" s="2">
        <f>IF(0&lt;$D41&lt;S41,1,0)</f>
        <v>0</v>
      </c>
      <c r="V41" s="2">
        <f>IF($D41&gt;T41,1,0)</f>
        <v>0</v>
      </c>
      <c r="W41" s="2"/>
      <c r="X41" s="2" t="str">
        <f t="shared" si="7"/>
        <v/>
      </c>
      <c r="Y41" s="2" t="s">
        <v>486</v>
      </c>
      <c r="Z41" s="2" t="s">
        <v>487</v>
      </c>
      <c r="AA41" s="2"/>
      <c r="AG41" s="1" t="s">
        <v>321</v>
      </c>
      <c r="AH41" s="1" t="s">
        <v>326</v>
      </c>
    </row>
    <row r="42" spans="1:34" ht="12.95" customHeight="1" x14ac:dyDescent="0.2">
      <c r="A42" s="212"/>
      <c r="D42" s="45"/>
      <c r="E42" s="45"/>
      <c r="S42" s="2"/>
      <c r="T42" s="2"/>
      <c r="U42" s="2"/>
      <c r="AG42" s="1" t="s">
        <v>919</v>
      </c>
      <c r="AH42" s="1" t="s">
        <v>920</v>
      </c>
    </row>
    <row r="43" spans="1:34" ht="12.95" customHeight="1" x14ac:dyDescent="0.2">
      <c r="A43" s="211">
        <v>120</v>
      </c>
      <c r="B43" s="5" t="s">
        <v>315</v>
      </c>
      <c r="D43" s="4"/>
      <c r="S43" s="2"/>
      <c r="T43" s="2"/>
      <c r="U43" s="2"/>
    </row>
    <row r="44" spans="1:34" ht="12.95" customHeight="1" x14ac:dyDescent="0.2">
      <c r="A44" s="221" t="s">
        <v>62</v>
      </c>
      <c r="C44" s="45" t="s">
        <v>314</v>
      </c>
      <c r="D44" s="257">
        <v>55</v>
      </c>
      <c r="E44" s="1" t="s">
        <v>41</v>
      </c>
      <c r="O44" s="152"/>
      <c r="Q44" s="152"/>
      <c r="S44" s="2">
        <v>0</v>
      </c>
      <c r="T44" s="2">
        <v>200</v>
      </c>
      <c r="U44" s="2">
        <f>IF($D44&lt;S44,1,0)</f>
        <v>0</v>
      </c>
      <c r="V44" s="2">
        <f>IF($D44&gt;T44,1,0)</f>
        <v>0</v>
      </c>
      <c r="X44" s="2" t="str">
        <f>IF(U44&gt;0,Y44,"")&amp;IF(V44&gt;0,Z44,"")&amp;IF(W44&gt;0,AA44,"")</f>
        <v/>
      </c>
      <c r="Y44" s="2" t="s">
        <v>491</v>
      </c>
      <c r="Z44" s="2" t="s">
        <v>492</v>
      </c>
    </row>
    <row r="45" spans="1:34" ht="12.95" customHeight="1" x14ac:dyDescent="0.2">
      <c r="A45" s="221" t="s">
        <v>395</v>
      </c>
      <c r="C45" s="45" t="s">
        <v>383</v>
      </c>
      <c r="D45" s="257">
        <v>55</v>
      </c>
      <c r="E45" s="1" t="s">
        <v>800</v>
      </c>
      <c r="O45" s="152"/>
      <c r="Q45" s="152"/>
      <c r="S45" s="2">
        <v>30</v>
      </c>
      <c r="T45" s="2">
        <v>200</v>
      </c>
      <c r="U45" s="2">
        <f>IF(Eing_Anteil_WKK=0,0,IF($D45&lt;S45,1,0))</f>
        <v>0</v>
      </c>
      <c r="V45" s="2">
        <f>IF(Eing_Anteil_WKK=0,0,IF($D45&gt;T45,1,0))</f>
        <v>0</v>
      </c>
      <c r="X45" s="2" t="str">
        <f t="shared" ref="X45" si="8">IF(U45&gt;0,Y45,"")&amp;IF(V45&gt;0,Z45,"")&amp;IF(W45&gt;0,AA45,"")</f>
        <v/>
      </c>
      <c r="Y45" s="2" t="s">
        <v>493</v>
      </c>
      <c r="Z45" s="2" t="s">
        <v>494</v>
      </c>
    </row>
    <row r="46" spans="1:34" ht="12.95" customHeight="1" x14ac:dyDescent="0.2">
      <c r="A46" s="221" t="s">
        <v>396</v>
      </c>
      <c r="C46" s="45" t="s">
        <v>384</v>
      </c>
      <c r="D46" s="257"/>
      <c r="E46" s="1" t="s">
        <v>800</v>
      </c>
      <c r="O46" s="152"/>
      <c r="Q46" s="152"/>
      <c r="S46" s="2">
        <v>30</v>
      </c>
      <c r="T46" s="2">
        <v>300</v>
      </c>
      <c r="U46" s="2">
        <f>IF(Eing_Anteil_WKK=0,0,IF($D46&lt;S46,1,0))</f>
        <v>1</v>
      </c>
      <c r="V46" s="2">
        <f>IF(Eing_Anteil_WKK=0,0,IF($D46&gt;T46,1,0))</f>
        <v>0</v>
      </c>
      <c r="X46" s="2" t="str">
        <f t="shared" ref="X46" si="9">IF(U46&gt;0,Y46,"")&amp;IF(V46&gt;0,Z46,"")&amp;IF(W46&gt;0,AA46,"")</f>
        <v>120d: Der Brennstoffpreis der Zusatzwärmeerzeugung ist sehr tief</v>
      </c>
      <c r="Y46" s="2" t="s">
        <v>495</v>
      </c>
      <c r="Z46" s="2" t="s">
        <v>496</v>
      </c>
    </row>
    <row r="47" spans="1:34" ht="12.95" customHeight="1" x14ac:dyDescent="0.2">
      <c r="A47" s="221" t="s">
        <v>397</v>
      </c>
      <c r="C47" s="45" t="s">
        <v>14</v>
      </c>
      <c r="D47" s="257">
        <v>120</v>
      </c>
      <c r="E47" s="1" t="s">
        <v>800</v>
      </c>
      <c r="O47" s="152"/>
      <c r="Q47" s="152"/>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2" t="s">
        <v>497</v>
      </c>
      <c r="Z47" s="2" t="s">
        <v>498</v>
      </c>
      <c r="AA47" s="2" t="s">
        <v>502</v>
      </c>
    </row>
    <row r="48" spans="1:34" ht="12.95" customHeight="1" x14ac:dyDescent="0.2">
      <c r="A48" s="221" t="s">
        <v>405</v>
      </c>
      <c r="C48" s="45" t="s">
        <v>15</v>
      </c>
      <c r="D48" s="257">
        <v>25</v>
      </c>
      <c r="E48" s="1" t="s">
        <v>801</v>
      </c>
      <c r="O48" s="152"/>
      <c r="Q48" s="152"/>
      <c r="S48" s="2">
        <v>5</v>
      </c>
      <c r="T48" s="2">
        <v>80</v>
      </c>
      <c r="U48" s="2">
        <f>IF($D48&lt;S48,1,0)</f>
        <v>0</v>
      </c>
      <c r="V48" s="2">
        <f>IF($D48&gt;T48,1,0)</f>
        <v>0</v>
      </c>
      <c r="W48" s="2">
        <f>IF(Eing_Strompreis=0,1,0)</f>
        <v>0</v>
      </c>
      <c r="X48" s="2" t="str">
        <f>IF(U48&gt;0,Y48,"")&amp;IF(V48&gt;0,Z48,"")&amp;IF(W48&gt;0,AA48,"")</f>
        <v/>
      </c>
      <c r="Y48" s="2" t="s">
        <v>499</v>
      </c>
      <c r="Z48" s="2" t="s">
        <v>500</v>
      </c>
      <c r="AA48" s="2" t="s">
        <v>501</v>
      </c>
    </row>
    <row r="49" spans="1:27" s="191" customFormat="1" ht="13.15" customHeight="1" x14ac:dyDescent="0.2">
      <c r="A49" s="221" t="s">
        <v>403</v>
      </c>
      <c r="C49" s="45" t="s">
        <v>322</v>
      </c>
      <c r="D49" s="188">
        <f>Eing_Strompreis</f>
        <v>25</v>
      </c>
      <c r="E49" s="1" t="s">
        <v>801</v>
      </c>
      <c r="K49" s="286">
        <f>Eing_Strompreis</f>
        <v>25</v>
      </c>
      <c r="O49" s="152"/>
      <c r="Q49" s="152"/>
      <c r="R49" s="1"/>
      <c r="S49" s="2">
        <v>5</v>
      </c>
      <c r="T49" s="2">
        <v>80</v>
      </c>
      <c r="U49" s="2">
        <f>IF(Eing_Anteil_WP=0,0,IF(0&lt;$D49&lt;S49,1,0))</f>
        <v>0</v>
      </c>
      <c r="V49" s="2">
        <f>IF(Eing_Anteil_WP=0,0,IF(0&lt;$D49&gt;T49,1,0))</f>
        <v>0</v>
      </c>
      <c r="W49" s="2">
        <f>IF(Eing_Anteil_WP=0,0,IF(Eing_Strompreis_WP&gt;Eing_Strompreis,1,0))</f>
        <v>0</v>
      </c>
      <c r="X49" s="2" t="str">
        <f t="shared" ref="X49:X52" si="10">IF(U49&gt;0,Y49,"")&amp;IF(V49&gt;0,Z49,"")&amp;IF(W49&gt;0,AA49,"")</f>
        <v/>
      </c>
      <c r="Y49" s="2" t="s">
        <v>503</v>
      </c>
      <c r="Z49" s="2" t="s">
        <v>504</v>
      </c>
      <c r="AA49" s="2" t="s">
        <v>505</v>
      </c>
    </row>
    <row r="50" spans="1:27" s="191" customFormat="1" ht="13.15" customHeight="1" x14ac:dyDescent="0.2">
      <c r="A50" s="214" t="s">
        <v>407</v>
      </c>
      <c r="C50" s="45" t="s">
        <v>323</v>
      </c>
      <c r="D50" s="257"/>
      <c r="E50" s="1" t="s">
        <v>38</v>
      </c>
      <c r="O50" s="152"/>
      <c r="Q50" s="152"/>
      <c r="R50" s="1"/>
      <c r="S50" s="2">
        <v>0</v>
      </c>
      <c r="T50" s="2">
        <v>100</v>
      </c>
      <c r="U50" s="2">
        <f>IF(Eing_Anteil_AWN=0,0,IF(0&lt;$D50&lt;S50,1,0))</f>
        <v>0</v>
      </c>
      <c r="V50" s="2">
        <f>IF(Eing_Anteil_AWN=0,0,IF(0&lt;$D50&gt;T50,1,0))</f>
        <v>0</v>
      </c>
      <c r="W50" s="2"/>
      <c r="X50" s="2" t="str">
        <f t="shared" si="10"/>
        <v/>
      </c>
      <c r="Y50" s="2" t="s">
        <v>921</v>
      </c>
      <c r="Z50" s="2" t="s">
        <v>922</v>
      </c>
      <c r="AA50" s="2"/>
    </row>
    <row r="51" spans="1:27" ht="12.95" customHeight="1" x14ac:dyDescent="0.2">
      <c r="A51" s="214" t="s">
        <v>410</v>
      </c>
      <c r="C51" s="45" t="s">
        <v>324</v>
      </c>
      <c r="D51" s="257">
        <v>18</v>
      </c>
      <c r="E51" s="1" t="s">
        <v>801</v>
      </c>
      <c r="O51" s="152"/>
      <c r="Q51" s="152"/>
      <c r="S51" s="2">
        <v>5</v>
      </c>
      <c r="T51" s="2">
        <v>80</v>
      </c>
      <c r="U51" s="2">
        <f>IF(AND($D51&gt;0,$D51&lt;S51),1,0)</f>
        <v>0</v>
      </c>
      <c r="V51" s="2">
        <f>IF($D51&gt;T51,1,0)</f>
        <v>0</v>
      </c>
      <c r="W51" s="2">
        <f>IF(Eing_Jahresnutzungsgrad_WKKel=0,0,IF($D51=0,1,0))</f>
        <v>0</v>
      </c>
      <c r="X51" s="2" t="str">
        <f t="shared" si="10"/>
        <v/>
      </c>
      <c r="Y51" s="2" t="s">
        <v>923</v>
      </c>
      <c r="Z51" s="2" t="s">
        <v>924</v>
      </c>
      <c r="AA51" s="2" t="s">
        <v>925</v>
      </c>
    </row>
    <row r="52" spans="1:27" ht="12.95" customHeight="1" x14ac:dyDescent="0.2">
      <c r="A52" s="214" t="s">
        <v>412</v>
      </c>
      <c r="C52" s="45" t="s">
        <v>325</v>
      </c>
      <c r="D52" s="257">
        <v>400</v>
      </c>
      <c r="E52" s="1" t="str">
        <f>_xlfn.XLOOKUP(E41,AG41:AG42,AH41:AH42)</f>
        <v>CHF/m³</v>
      </c>
      <c r="O52" s="152"/>
      <c r="Q52" s="152"/>
      <c r="S52" s="2">
        <v>200</v>
      </c>
      <c r="T52" s="2">
        <v>1000</v>
      </c>
      <c r="U52" s="2">
        <f>IF(Eing_Prod_Pflanzenkohle=0,0,IF($D52&lt;S52,1,0))</f>
        <v>0</v>
      </c>
      <c r="V52" s="2">
        <f>IF($D52&gt;T52,1,0)</f>
        <v>0</v>
      </c>
      <c r="W52" s="2">
        <f>IF(Eing_Prod_Pflanzenkohle=0,0,IF($D52&lt;S52,1,0))</f>
        <v>0</v>
      </c>
      <c r="X52" s="2" t="str">
        <f t="shared" si="10"/>
        <v/>
      </c>
      <c r="Y52" s="2" t="s">
        <v>926</v>
      </c>
      <c r="Z52" s="2" t="s">
        <v>927</v>
      </c>
      <c r="AA52" s="2" t="s">
        <v>928</v>
      </c>
    </row>
    <row r="53" spans="1:27" ht="12.95" customHeight="1" x14ac:dyDescent="0.2">
      <c r="A53" s="212"/>
      <c r="S53" s="2"/>
      <c r="T53" s="2"/>
      <c r="U53" s="2"/>
    </row>
    <row r="54" spans="1:27" ht="12.95" customHeight="1" x14ac:dyDescent="0.2">
      <c r="A54" s="221">
        <v>125</v>
      </c>
      <c r="B54" s="5" t="s">
        <v>327</v>
      </c>
      <c r="D54" s="4"/>
      <c r="S54" s="2"/>
      <c r="T54" s="2"/>
      <c r="U54" s="2"/>
    </row>
    <row r="55" spans="1:27" ht="12.95" customHeight="1" x14ac:dyDescent="0.2">
      <c r="A55" s="221" t="s">
        <v>62</v>
      </c>
      <c r="C55" s="45" t="s">
        <v>273</v>
      </c>
      <c r="D55" s="284">
        <f>ROUND(1.5%*SUM(D69:D76),-2)</f>
        <v>138800</v>
      </c>
      <c r="E55" s="1" t="s">
        <v>40</v>
      </c>
      <c r="K55" s="287">
        <f>ROUND(1.5%*SUM(D69:D76),-2)</f>
        <v>138800</v>
      </c>
      <c r="O55" s="152"/>
      <c r="Q55" s="152"/>
      <c r="S55" s="2">
        <v>1000</v>
      </c>
      <c r="T55" s="2">
        <f>5%*SUM(D69:D76)</f>
        <v>462500</v>
      </c>
      <c r="U55" s="2">
        <f t="shared" ref="U55:U57" si="11">IF($D55&lt;S55,1,0)</f>
        <v>0</v>
      </c>
      <c r="V55" s="2">
        <f t="shared" ref="V55:V57" si="12">IF($D55&gt;T55,1,0)</f>
        <v>0</v>
      </c>
      <c r="X55" s="2" t="str">
        <f>IF(U55&gt;0,Y55,"")&amp;IF(V55&gt;0,Z55,"")&amp;IF(W55&gt;0,AA55,"")</f>
        <v/>
      </c>
      <c r="Y55" s="2" t="s">
        <v>506</v>
      </c>
      <c r="Z55" s="2" t="s">
        <v>507</v>
      </c>
    </row>
    <row r="56" spans="1:27" ht="12.95" customHeight="1" x14ac:dyDescent="0.2">
      <c r="A56" s="221" t="s">
        <v>394</v>
      </c>
      <c r="C56" s="45" t="s">
        <v>274</v>
      </c>
      <c r="D56" s="260">
        <v>100000</v>
      </c>
      <c r="E56" s="1" t="s">
        <v>40</v>
      </c>
      <c r="O56" s="152"/>
      <c r="Q56" s="152"/>
      <c r="S56" s="2">
        <v>1000</v>
      </c>
      <c r="T56" s="2">
        <f>10%*SUM(D69:D75)</f>
        <v>475000</v>
      </c>
      <c r="U56" s="2">
        <f t="shared" si="11"/>
        <v>0</v>
      </c>
      <c r="V56" s="2">
        <f t="shared" si="12"/>
        <v>0</v>
      </c>
      <c r="X56" s="2" t="str">
        <f>IF(U56&gt;0,Y56,"")&amp;IF(V56&gt;0,Z56,"")&amp;IF(W56&gt;0,AA56,"")</f>
        <v/>
      </c>
      <c r="Y56" s="2" t="s">
        <v>508</v>
      </c>
      <c r="Z56" s="2" t="s">
        <v>509</v>
      </c>
    </row>
    <row r="57" spans="1:27" ht="12.95" customHeight="1" x14ac:dyDescent="0.2">
      <c r="A57" s="221" t="s">
        <v>395</v>
      </c>
      <c r="C57" s="45" t="s">
        <v>88</v>
      </c>
      <c r="D57" s="284">
        <f>SUMPRODUCT(D68:D80,F68:F80)/100</f>
        <v>443000</v>
      </c>
      <c r="E57" s="1" t="s">
        <v>40</v>
      </c>
      <c r="K57" s="287">
        <f>SUMPRODUCT(D68:D80,F68:F80)/100</f>
        <v>443000</v>
      </c>
      <c r="O57" s="152"/>
      <c r="Q57" s="152"/>
      <c r="S57" s="2">
        <v>1000</v>
      </c>
      <c r="T57" s="2">
        <f>10%*Gesamtinvestition</f>
        <v>3865000</v>
      </c>
      <c r="U57" s="2">
        <f t="shared" si="11"/>
        <v>0</v>
      </c>
      <c r="V57" s="2">
        <f t="shared" si="12"/>
        <v>0</v>
      </c>
      <c r="X57" s="2" t="str">
        <f>IF(U57&gt;0,Y57,"")&amp;IF(V57&gt;0,Z57,"")&amp;IF(W57&gt;0,AA57,"")</f>
        <v/>
      </c>
      <c r="Y57" s="2" t="s">
        <v>510</v>
      </c>
      <c r="Z57" s="2" t="s">
        <v>511</v>
      </c>
    </row>
    <row r="58" spans="1:27" ht="12.95" customHeight="1" x14ac:dyDescent="0.2">
      <c r="A58" s="212"/>
      <c r="C58" s="45"/>
      <c r="D58" s="4"/>
      <c r="S58" s="2"/>
      <c r="T58" s="2"/>
      <c r="U58" s="2"/>
    </row>
    <row r="59" spans="1:27" ht="12.95" customHeight="1" x14ac:dyDescent="0.2">
      <c r="A59" s="221" t="s">
        <v>403</v>
      </c>
      <c r="C59" s="45" t="s">
        <v>328</v>
      </c>
      <c r="D59" s="260">
        <v>30000</v>
      </c>
      <c r="E59" s="1" t="s">
        <v>40</v>
      </c>
      <c r="O59" s="152"/>
      <c r="Q59" s="152"/>
      <c r="S59" s="2">
        <v>1000</v>
      </c>
      <c r="T59" s="2">
        <f>Gesamtinvestition/20</f>
        <v>1932500</v>
      </c>
      <c r="U59" s="2">
        <f>IF($D59&lt;S59,1,0)</f>
        <v>0</v>
      </c>
      <c r="V59" s="2">
        <f>IF($D59&gt;T59,1,0)</f>
        <v>0</v>
      </c>
      <c r="X59" s="2" t="str">
        <f>IF(U59&gt;0,Y59,"")&amp;IF(V59&gt;0,Z59,"")&amp;IF(W59&gt;0,AA59,"")</f>
        <v/>
      </c>
      <c r="Y59" s="2" t="s">
        <v>512</v>
      </c>
      <c r="Z59" s="2" t="s">
        <v>513</v>
      </c>
    </row>
    <row r="60" spans="1:27" ht="12.95" customHeight="1" x14ac:dyDescent="0.2">
      <c r="A60" s="221" t="s">
        <v>404</v>
      </c>
      <c r="C60" s="45" t="s">
        <v>275</v>
      </c>
      <c r="D60" s="284">
        <v>200000</v>
      </c>
      <c r="E60" s="1" t="s">
        <v>40</v>
      </c>
      <c r="K60" s="287">
        <f>ROUND(1%*Gesamtinvestition,-2)</f>
        <v>386500</v>
      </c>
      <c r="O60" s="152"/>
      <c r="Q60" s="152"/>
      <c r="S60" s="2">
        <v>1000</v>
      </c>
      <c r="T60" s="2">
        <f>5%*Gesamtinvestition</f>
        <v>1932500</v>
      </c>
      <c r="U60" s="2">
        <f>IF($D60&lt;S60,1,0)</f>
        <v>0</v>
      </c>
      <c r="V60" s="2">
        <f>IF($D60&gt;T60,1,0)</f>
        <v>0</v>
      </c>
      <c r="X60" s="2" t="str">
        <f>IF(U60&gt;0,Y60,"")&amp;IF(V60&gt;0,Z60,"")&amp;IF(W60&gt;0,AA60,"")</f>
        <v/>
      </c>
      <c r="Y60" s="2" t="s">
        <v>514</v>
      </c>
      <c r="Z60" s="2" t="s">
        <v>515</v>
      </c>
      <c r="AA60" s="2" t="s">
        <v>516</v>
      </c>
    </row>
    <row r="61" spans="1:27" ht="12.95" customHeight="1" x14ac:dyDescent="0.2">
      <c r="A61" s="221" t="s">
        <v>410</v>
      </c>
      <c r="C61" s="45" t="s">
        <v>75</v>
      </c>
      <c r="D61" s="259">
        <v>1</v>
      </c>
      <c r="E61" s="1" t="s">
        <v>12</v>
      </c>
      <c r="O61" s="152"/>
      <c r="Q61" s="152"/>
      <c r="S61" s="2">
        <v>0</v>
      </c>
      <c r="T61" s="2">
        <v>5</v>
      </c>
      <c r="U61" s="2">
        <f>IF($D61&lt;S61,1,0)</f>
        <v>0</v>
      </c>
      <c r="V61" s="2">
        <f>IF($D61&gt;T61,1,0)</f>
        <v>0</v>
      </c>
      <c r="X61" s="2" t="str">
        <f>IF(U61&gt;0,Y61,"")&amp;IF(V61&gt;0,Z61,"")&amp;IF(W61&gt;0,AA61,"")</f>
        <v/>
      </c>
      <c r="Y61" s="2" t="s">
        <v>517</v>
      </c>
      <c r="Z61" s="2" t="s">
        <v>518</v>
      </c>
    </row>
    <row r="62" spans="1:27" ht="12.95" customHeight="1" x14ac:dyDescent="0.2">
      <c r="A62" s="221" t="s">
        <v>412</v>
      </c>
      <c r="C62" s="45" t="s">
        <v>262</v>
      </c>
      <c r="D62" s="259">
        <v>3</v>
      </c>
      <c r="E62" s="1" t="s">
        <v>12</v>
      </c>
      <c r="O62" s="152"/>
      <c r="Q62" s="152"/>
      <c r="S62" s="2">
        <v>0</v>
      </c>
      <c r="T62" s="2">
        <v>10</v>
      </c>
      <c r="U62" s="2">
        <f>IF($D62&lt;S62,1,0)</f>
        <v>0</v>
      </c>
      <c r="V62" s="2">
        <f>IF($D62&gt;T62,1,0)</f>
        <v>0</v>
      </c>
      <c r="X62" s="2" t="str">
        <f t="shared" ref="X62:X63" si="13">IF(U62&gt;0,Y62,"")&amp;IF(V62&gt;0,Z62,"")&amp;IF(W62&gt;0,AA62,"")</f>
        <v/>
      </c>
      <c r="Y62" s="2" t="s">
        <v>519</v>
      </c>
      <c r="Z62" s="2" t="s">
        <v>520</v>
      </c>
    </row>
    <row r="63" spans="1:27" ht="12.95" customHeight="1" x14ac:dyDescent="0.2">
      <c r="A63" s="221" t="s">
        <v>411</v>
      </c>
      <c r="C63" s="45" t="s">
        <v>263</v>
      </c>
      <c r="D63" s="188">
        <f>Eing_Nominalzins-Eing_allg_Teuerung</f>
        <v>2</v>
      </c>
      <c r="E63" s="1" t="s">
        <v>12</v>
      </c>
      <c r="K63" s="286">
        <f>Eing_Nominalzins-Eing_allg_Teuerung</f>
        <v>2</v>
      </c>
      <c r="O63" s="152"/>
      <c r="Q63" s="152"/>
      <c r="S63" s="2">
        <v>0</v>
      </c>
      <c r="T63" s="2">
        <v>8</v>
      </c>
      <c r="U63" s="2">
        <f t="shared" ref="U63" si="14">IF($D63&lt;S63,1,0)</f>
        <v>0</v>
      </c>
      <c r="V63" s="2">
        <f t="shared" ref="V63" si="15">IF($D63&gt;T63,1,0)</f>
        <v>0</v>
      </c>
      <c r="X63" s="2" t="str">
        <f t="shared" si="13"/>
        <v/>
      </c>
      <c r="Y63" s="2" t="s">
        <v>521</v>
      </c>
      <c r="Z63" s="2" t="s">
        <v>522</v>
      </c>
    </row>
    <row r="64" spans="1:27" ht="12.95" customHeight="1" x14ac:dyDescent="0.2">
      <c r="A64" s="212"/>
      <c r="C64" s="45"/>
      <c r="D64" s="7"/>
      <c r="S64" s="2"/>
      <c r="T64" s="2"/>
      <c r="U64" s="2"/>
    </row>
    <row r="65" spans="1:34" ht="12.95" customHeight="1" x14ac:dyDescent="0.2">
      <c r="A65" s="211">
        <v>140</v>
      </c>
      <c r="B65" s="5" t="s">
        <v>142</v>
      </c>
      <c r="C65" s="45"/>
      <c r="D65" s="261">
        <v>141</v>
      </c>
      <c r="F65" s="3">
        <v>142</v>
      </c>
      <c r="G65" s="3"/>
      <c r="I65" s="3">
        <v>143</v>
      </c>
      <c r="K65" s="3"/>
      <c r="M65" s="3"/>
      <c r="O65" s="3"/>
      <c r="Q65" s="3"/>
      <c r="S65" s="2"/>
      <c r="T65" s="2"/>
      <c r="U65" s="2"/>
    </row>
    <row r="66" spans="1:34" ht="12.95" customHeight="1" x14ac:dyDescent="0.2">
      <c r="A66" s="212"/>
      <c r="B66" s="5"/>
      <c r="C66" s="45"/>
      <c r="F66" s="63"/>
      <c r="G66" s="63" t="s">
        <v>95</v>
      </c>
      <c r="I66" s="65" t="s">
        <v>96</v>
      </c>
      <c r="J66" s="63"/>
      <c r="K66" s="65"/>
      <c r="L66" s="63"/>
      <c r="M66" s="65"/>
      <c r="N66" s="63"/>
      <c r="O66" s="162"/>
      <c r="P66" s="63"/>
      <c r="Q66" s="162"/>
      <c r="R66" s="163"/>
      <c r="S66" s="2"/>
      <c r="T66" s="2"/>
      <c r="U66" s="2"/>
    </row>
    <row r="67" spans="1:34" ht="12.95" customHeight="1" x14ac:dyDescent="0.2">
      <c r="A67" s="221">
        <v>145</v>
      </c>
      <c r="B67" s="5" t="s">
        <v>19</v>
      </c>
      <c r="C67" s="75" t="s">
        <v>211</v>
      </c>
      <c r="G67" s="63" t="s">
        <v>88</v>
      </c>
      <c r="I67" s="65" t="s">
        <v>97</v>
      </c>
      <c r="K67" s="65"/>
      <c r="L67" s="63"/>
      <c r="M67" s="65"/>
      <c r="N67" s="63"/>
      <c r="P67" s="63"/>
      <c r="R67" s="63"/>
      <c r="S67" s="2"/>
      <c r="T67" s="2"/>
      <c r="U67" s="2"/>
      <c r="AH67" s="253" t="s">
        <v>833</v>
      </c>
    </row>
    <row r="68" spans="1:34" ht="12.95" customHeight="1" x14ac:dyDescent="0.2">
      <c r="A68" s="221" t="s">
        <v>62</v>
      </c>
      <c r="C68" s="43" t="s">
        <v>71</v>
      </c>
      <c r="D68" s="262">
        <v>5000000</v>
      </c>
      <c r="E68" s="1" t="s">
        <v>39</v>
      </c>
      <c r="F68" s="188">
        <v>1</v>
      </c>
      <c r="G68" s="1" t="s">
        <v>12</v>
      </c>
      <c r="I68" s="187">
        <v>50</v>
      </c>
      <c r="J68" s="1" t="s">
        <v>18</v>
      </c>
      <c r="K68" s="254">
        <v>1</v>
      </c>
      <c r="M68" s="208">
        <v>50</v>
      </c>
      <c r="O68" s="152"/>
      <c r="Q68" s="152"/>
      <c r="S68" s="2">
        <v>10000</v>
      </c>
      <c r="T68" s="2">
        <v>999999999</v>
      </c>
      <c r="U68" s="2">
        <f t="shared" ref="U68:U69" si="16">IF($D68&lt;S68,1,0)</f>
        <v>0</v>
      </c>
      <c r="V68" s="2">
        <f t="shared" ref="V68:V81" si="17">IF($D68&gt;T68,1,0)</f>
        <v>0</v>
      </c>
      <c r="X68" s="2" t="str">
        <f t="shared" ref="X68:X81" si="18">IF(U68&gt;0,Y68,"")&amp;IF(V68&gt;0,Z68,"")&amp;IF(W68&gt;0,AA68,"")</f>
        <v/>
      </c>
      <c r="Y68" s="2" t="s">
        <v>523</v>
      </c>
      <c r="Z68" s="2" t="s">
        <v>524</v>
      </c>
      <c r="AH68" s="253">
        <f t="shared" ref="AH68:AH80" si="19">IF(I68=0,D68*Eing_Realzins/100,-PMT(Eing_Realzins/100,I68,D68))</f>
        <v>159116.04851848283</v>
      </c>
    </row>
    <row r="69" spans="1:34" ht="12.95" customHeight="1" x14ac:dyDescent="0.2">
      <c r="A69" s="221" t="s">
        <v>394</v>
      </c>
      <c r="C69" s="43" t="s">
        <v>90</v>
      </c>
      <c r="D69" s="262">
        <v>2500000</v>
      </c>
      <c r="E69" s="1" t="s">
        <v>39</v>
      </c>
      <c r="F69" s="188">
        <v>2</v>
      </c>
      <c r="G69" s="1" t="s">
        <v>12</v>
      </c>
      <c r="I69" s="187">
        <v>20</v>
      </c>
      <c r="J69" s="1" t="s">
        <v>18</v>
      </c>
      <c r="K69" s="254">
        <v>3</v>
      </c>
      <c r="M69" s="208">
        <v>20</v>
      </c>
      <c r="O69" s="152"/>
      <c r="Q69" s="152"/>
      <c r="S69" s="2">
        <v>10000</v>
      </c>
      <c r="T69" s="2">
        <v>999999999</v>
      </c>
      <c r="U69" s="2">
        <f t="shared" si="16"/>
        <v>0</v>
      </c>
      <c r="V69" s="2">
        <f t="shared" si="17"/>
        <v>0</v>
      </c>
      <c r="X69" s="2" t="str">
        <f t="shared" si="18"/>
        <v/>
      </c>
      <c r="Y69" s="2" t="s">
        <v>525</v>
      </c>
      <c r="Z69" s="2" t="s">
        <v>526</v>
      </c>
      <c r="AH69" s="253">
        <f t="shared" si="19"/>
        <v>152891.795313226</v>
      </c>
    </row>
    <row r="70" spans="1:34" ht="12.95" customHeight="1" x14ac:dyDescent="0.2">
      <c r="A70" s="221" t="s">
        <v>395</v>
      </c>
      <c r="C70" s="220" t="s">
        <v>329</v>
      </c>
      <c r="D70" s="262">
        <v>1500000</v>
      </c>
      <c r="E70" s="1" t="s">
        <v>39</v>
      </c>
      <c r="F70" s="188">
        <v>2</v>
      </c>
      <c r="G70" s="1" t="s">
        <v>12</v>
      </c>
      <c r="I70" s="187">
        <v>20</v>
      </c>
      <c r="J70" s="1" t="s">
        <v>18</v>
      </c>
      <c r="K70" s="254">
        <v>3</v>
      </c>
      <c r="M70" s="208">
        <v>20</v>
      </c>
      <c r="O70" s="152"/>
      <c r="Q70" s="152"/>
      <c r="S70" s="2">
        <v>10000</v>
      </c>
      <c r="T70" s="2">
        <v>999999999</v>
      </c>
      <c r="U70" s="2">
        <f>IF(Eing_Anteil_WKK=0,0,IF($D70&lt;S70,1,0))</f>
        <v>0</v>
      </c>
      <c r="V70" s="2">
        <f t="shared" si="17"/>
        <v>0</v>
      </c>
      <c r="X70" s="2" t="str">
        <f t="shared" si="18"/>
        <v/>
      </c>
      <c r="Y70" s="2" t="s">
        <v>527</v>
      </c>
      <c r="Z70" s="2" t="s">
        <v>528</v>
      </c>
      <c r="AH70" s="253">
        <f t="shared" si="19"/>
        <v>91735.077187935603</v>
      </c>
    </row>
    <row r="71" spans="1:34" s="191" customFormat="1" ht="12.95" customHeight="1" x14ac:dyDescent="0.2">
      <c r="A71" s="221" t="s">
        <v>396</v>
      </c>
      <c r="C71" s="220" t="s">
        <v>330</v>
      </c>
      <c r="D71" s="262"/>
      <c r="E71" s="1" t="s">
        <v>39</v>
      </c>
      <c r="F71" s="188">
        <v>2</v>
      </c>
      <c r="G71" s="1" t="s">
        <v>12</v>
      </c>
      <c r="I71" s="187">
        <v>20</v>
      </c>
      <c r="J71" s="1" t="s">
        <v>18</v>
      </c>
      <c r="K71" s="254">
        <v>2</v>
      </c>
      <c r="M71" s="208">
        <v>20</v>
      </c>
      <c r="O71" s="193"/>
      <c r="Q71" s="193"/>
      <c r="S71" s="2">
        <v>10000</v>
      </c>
      <c r="T71" s="2">
        <v>999999999</v>
      </c>
      <c r="U71" s="2">
        <f>IF(Eing_Anteil_WP=0,0,IF($D71&lt;S71,1,0))</f>
        <v>0</v>
      </c>
      <c r="V71" s="2">
        <f t="shared" si="17"/>
        <v>0</v>
      </c>
      <c r="W71" s="2"/>
      <c r="X71" s="2" t="str">
        <f t="shared" si="18"/>
        <v/>
      </c>
      <c r="Y71" s="2" t="s">
        <v>529</v>
      </c>
      <c r="Z71" s="2" t="s">
        <v>530</v>
      </c>
      <c r="AA71" s="2"/>
      <c r="AH71" s="253">
        <f t="shared" si="19"/>
        <v>0</v>
      </c>
    </row>
    <row r="72" spans="1:34" s="191" customFormat="1" ht="12.95" customHeight="1" x14ac:dyDescent="0.2">
      <c r="A72" s="221" t="s">
        <v>397</v>
      </c>
      <c r="C72" s="220" t="s">
        <v>331</v>
      </c>
      <c r="D72" s="262"/>
      <c r="E72" s="1" t="s">
        <v>39</v>
      </c>
      <c r="F72" s="188">
        <v>1</v>
      </c>
      <c r="G72" s="1" t="s">
        <v>12</v>
      </c>
      <c r="I72" s="187">
        <v>40</v>
      </c>
      <c r="J72" s="1" t="s">
        <v>18</v>
      </c>
      <c r="K72" s="254">
        <v>1</v>
      </c>
      <c r="M72" s="208">
        <v>40</v>
      </c>
      <c r="O72" s="193"/>
      <c r="Q72" s="193"/>
      <c r="S72" s="2">
        <v>10000</v>
      </c>
      <c r="T72" s="2">
        <v>999999999</v>
      </c>
      <c r="U72" s="2">
        <f>IF(Eing_Anteil_WP=0,0,IF($D72&lt;S72,1,0))</f>
        <v>0</v>
      </c>
      <c r="V72" s="2">
        <f t="shared" si="17"/>
        <v>0</v>
      </c>
      <c r="W72" s="2"/>
      <c r="X72" s="2" t="str">
        <f t="shared" si="18"/>
        <v/>
      </c>
      <c r="Y72" s="2" t="s">
        <v>531</v>
      </c>
      <c r="Z72" s="2" t="s">
        <v>532</v>
      </c>
      <c r="AA72" s="2"/>
      <c r="AH72" s="253">
        <f t="shared" si="19"/>
        <v>0</v>
      </c>
    </row>
    <row r="73" spans="1:34" s="191" customFormat="1" ht="12.95" customHeight="1" x14ac:dyDescent="0.2">
      <c r="A73" s="221" t="s">
        <v>405</v>
      </c>
      <c r="C73" s="220" t="s">
        <v>385</v>
      </c>
      <c r="D73" s="262"/>
      <c r="E73" s="1" t="s">
        <v>39</v>
      </c>
      <c r="F73" s="188">
        <v>2</v>
      </c>
      <c r="G73" s="1" t="s">
        <v>12</v>
      </c>
      <c r="I73" s="187">
        <v>20</v>
      </c>
      <c r="J73" s="1" t="s">
        <v>18</v>
      </c>
      <c r="K73" s="254">
        <v>2</v>
      </c>
      <c r="M73" s="208">
        <v>20</v>
      </c>
      <c r="O73" s="193"/>
      <c r="Q73" s="193"/>
      <c r="S73" s="2">
        <v>10000</v>
      </c>
      <c r="T73" s="2">
        <v>999999999</v>
      </c>
      <c r="U73" s="2">
        <f>IF(Eing_Anteil_AWN=0,0,IF($D73&lt;S73,1,0))</f>
        <v>0</v>
      </c>
      <c r="V73" s="2">
        <f t="shared" ref="V73" si="20">IF($D73&gt;T73,1,0)</f>
        <v>0</v>
      </c>
      <c r="W73" s="2"/>
      <c r="X73" s="2" t="str">
        <f t="shared" ref="X73" si="21">IF(U73&gt;0,Y73,"")&amp;IF(V73&gt;0,Z73,"")&amp;IF(W73&gt;0,AA73,"")</f>
        <v/>
      </c>
      <c r="Y73" s="2" t="s">
        <v>533</v>
      </c>
      <c r="Z73" s="2" t="s">
        <v>534</v>
      </c>
      <c r="AA73" s="2"/>
      <c r="AH73" s="253">
        <f t="shared" si="19"/>
        <v>0</v>
      </c>
    </row>
    <row r="74" spans="1:34" s="191" customFormat="1" ht="12.95" customHeight="1" x14ac:dyDescent="0.2">
      <c r="A74" s="221" t="s">
        <v>403</v>
      </c>
      <c r="C74" s="220" t="s">
        <v>332</v>
      </c>
      <c r="D74" s="262"/>
      <c r="E74" s="1" t="s">
        <v>39</v>
      </c>
      <c r="F74" s="188">
        <v>2</v>
      </c>
      <c r="G74" s="1" t="s">
        <v>12</v>
      </c>
      <c r="I74" s="187">
        <v>20</v>
      </c>
      <c r="J74" s="1" t="s">
        <v>18</v>
      </c>
      <c r="K74" s="254">
        <v>2</v>
      </c>
      <c r="M74" s="208">
        <v>20</v>
      </c>
      <c r="O74" s="193"/>
      <c r="Q74" s="193"/>
      <c r="S74" s="2">
        <v>10000</v>
      </c>
      <c r="T74" s="2">
        <v>999999999</v>
      </c>
      <c r="U74" s="2">
        <f>IF(Eing_Anteil_AWN=0,0,IF($D74&lt;S74,1,0))</f>
        <v>0</v>
      </c>
      <c r="V74" s="2">
        <f t="shared" si="17"/>
        <v>0</v>
      </c>
      <c r="W74" s="2"/>
      <c r="X74" s="2" t="str">
        <f t="shared" si="18"/>
        <v/>
      </c>
      <c r="Y74" s="2" t="s">
        <v>535</v>
      </c>
      <c r="Z74" s="2" t="s">
        <v>536</v>
      </c>
      <c r="AA74" s="2"/>
      <c r="AH74" s="253">
        <f t="shared" si="19"/>
        <v>0</v>
      </c>
    </row>
    <row r="75" spans="1:34" ht="12.95" customHeight="1" x14ac:dyDescent="0.2">
      <c r="A75" s="221" t="s">
        <v>404</v>
      </c>
      <c r="C75" s="43" t="s">
        <v>91</v>
      </c>
      <c r="D75" s="262">
        <v>750000</v>
      </c>
      <c r="E75" s="1" t="s">
        <v>39</v>
      </c>
      <c r="F75" s="188">
        <v>2</v>
      </c>
      <c r="G75" s="1" t="s">
        <v>12</v>
      </c>
      <c r="I75" s="187">
        <v>20</v>
      </c>
      <c r="J75" s="1" t="s">
        <v>18</v>
      </c>
      <c r="K75" s="254">
        <v>2</v>
      </c>
      <c r="M75" s="208">
        <v>20</v>
      </c>
      <c r="O75" s="152"/>
      <c r="Q75" s="152"/>
      <c r="S75" s="2">
        <v>10000</v>
      </c>
      <c r="T75" s="2">
        <v>999999999</v>
      </c>
      <c r="U75" s="2">
        <f>IF(Anteil_fossil_erzeugt=0,0,IF($D75&lt;S75,1,0))</f>
        <v>0</v>
      </c>
      <c r="V75" s="2">
        <f t="shared" si="17"/>
        <v>0</v>
      </c>
      <c r="X75" s="2" t="str">
        <f t="shared" si="18"/>
        <v/>
      </c>
      <c r="Y75" s="2" t="s">
        <v>538</v>
      </c>
      <c r="Z75" s="2" t="s">
        <v>537</v>
      </c>
      <c r="AH75" s="253">
        <f t="shared" si="19"/>
        <v>45867.538593967802</v>
      </c>
    </row>
    <row r="76" spans="1:34" ht="12.95" customHeight="1" x14ac:dyDescent="0.2">
      <c r="A76" s="221" t="s">
        <v>406</v>
      </c>
      <c r="C76" s="43" t="s">
        <v>92</v>
      </c>
      <c r="D76" s="262">
        <v>4500000</v>
      </c>
      <c r="E76" s="1" t="s">
        <v>39</v>
      </c>
      <c r="F76" s="188">
        <v>2</v>
      </c>
      <c r="G76" s="1" t="s">
        <v>12</v>
      </c>
      <c r="I76" s="187">
        <v>20</v>
      </c>
      <c r="J76" s="1" t="s">
        <v>18</v>
      </c>
      <c r="K76" s="254">
        <v>2</v>
      </c>
      <c r="M76" s="208">
        <v>20</v>
      </c>
      <c r="O76" s="152"/>
      <c r="Q76" s="152"/>
      <c r="S76" s="2">
        <v>10000</v>
      </c>
      <c r="T76" s="2">
        <v>999999999</v>
      </c>
      <c r="U76" s="2">
        <f t="shared" ref="U76:U81" si="22">IF($D76&lt;S76,1,0)</f>
        <v>0</v>
      </c>
      <c r="V76" s="2">
        <f t="shared" si="17"/>
        <v>0</v>
      </c>
      <c r="X76" s="2" t="str">
        <f t="shared" si="18"/>
        <v/>
      </c>
      <c r="Y76" s="2" t="s">
        <v>539</v>
      </c>
      <c r="Z76" s="2" t="s">
        <v>540</v>
      </c>
      <c r="AH76" s="253">
        <f t="shared" si="19"/>
        <v>275205.23156380677</v>
      </c>
    </row>
    <row r="77" spans="1:34" ht="12.95" customHeight="1" x14ac:dyDescent="0.2">
      <c r="A77" s="221" t="s">
        <v>407</v>
      </c>
      <c r="C77" s="43" t="s">
        <v>63</v>
      </c>
      <c r="D77" s="262">
        <v>16000000</v>
      </c>
      <c r="E77" s="1" t="s">
        <v>39</v>
      </c>
      <c r="F77" s="188">
        <v>1</v>
      </c>
      <c r="G77" s="1" t="s">
        <v>12</v>
      </c>
      <c r="I77" s="187">
        <v>40</v>
      </c>
      <c r="J77" s="1" t="s">
        <v>18</v>
      </c>
      <c r="K77" s="254">
        <v>1</v>
      </c>
      <c r="M77" s="208">
        <v>40</v>
      </c>
      <c r="O77" s="152"/>
      <c r="Q77" s="152"/>
      <c r="S77" s="2">
        <v>10000</v>
      </c>
      <c r="T77" s="2">
        <v>999999999</v>
      </c>
      <c r="U77" s="2">
        <f>IF(Eing_Netzverluste&lt;=0,0,IF($D77&lt;S77,1,0))</f>
        <v>0</v>
      </c>
      <c r="V77" s="2">
        <f t="shared" si="17"/>
        <v>0</v>
      </c>
      <c r="X77" s="2" t="str">
        <f t="shared" si="18"/>
        <v/>
      </c>
      <c r="Y77" s="2" t="s">
        <v>541</v>
      </c>
      <c r="Z77" s="2" t="s">
        <v>542</v>
      </c>
      <c r="AH77" s="253">
        <f t="shared" si="19"/>
        <v>584891.96475756005</v>
      </c>
    </row>
    <row r="78" spans="1:34" ht="12.95" customHeight="1" x14ac:dyDescent="0.2">
      <c r="A78" s="221" t="s">
        <v>408</v>
      </c>
      <c r="C78" s="43" t="s">
        <v>942</v>
      </c>
      <c r="D78" s="262">
        <v>400000</v>
      </c>
      <c r="E78" s="1" t="s">
        <v>39</v>
      </c>
      <c r="F78" s="188">
        <v>2</v>
      </c>
      <c r="G78" s="1" t="s">
        <v>12</v>
      </c>
      <c r="I78" s="187">
        <v>15</v>
      </c>
      <c r="J78" s="1" t="s">
        <v>18</v>
      </c>
      <c r="K78" s="254">
        <v>2</v>
      </c>
      <c r="M78" s="208">
        <v>15</v>
      </c>
      <c r="O78" s="152"/>
      <c r="Q78" s="152"/>
      <c r="S78" s="2">
        <v>10000</v>
      </c>
      <c r="T78" s="2">
        <v>999999999</v>
      </c>
      <c r="U78" s="2">
        <f t="shared" si="22"/>
        <v>0</v>
      </c>
      <c r="V78" s="2">
        <f t="shared" si="17"/>
        <v>0</v>
      </c>
      <c r="X78" s="2" t="str">
        <f t="shared" si="18"/>
        <v/>
      </c>
      <c r="Y78" s="2" t="s">
        <v>543</v>
      </c>
      <c r="Z78" s="2" t="s">
        <v>544</v>
      </c>
      <c r="AA78" s="1"/>
      <c r="AH78" s="253">
        <f t="shared" si="19"/>
        <v>31130.188900097648</v>
      </c>
    </row>
    <row r="79" spans="1:34" ht="12.95" customHeight="1" x14ac:dyDescent="0.2">
      <c r="A79" s="221" t="s">
        <v>409</v>
      </c>
      <c r="C79" s="43" t="s">
        <v>941</v>
      </c>
      <c r="D79" s="262">
        <v>2000000</v>
      </c>
      <c r="E79" s="1" t="s">
        <v>39</v>
      </c>
      <c r="F79" s="188">
        <v>2</v>
      </c>
      <c r="G79" s="1" t="s">
        <v>12</v>
      </c>
      <c r="I79" s="187">
        <v>30</v>
      </c>
      <c r="J79" s="1" t="s">
        <v>18</v>
      </c>
      <c r="K79" s="254">
        <v>2</v>
      </c>
      <c r="M79" s="208">
        <v>30</v>
      </c>
      <c r="O79" s="152"/>
      <c r="Q79" s="152"/>
      <c r="S79" s="2">
        <v>10000</v>
      </c>
      <c r="T79" s="2">
        <v>999999999</v>
      </c>
      <c r="U79" s="2">
        <f>IF(Eing_Netzverluste&lt;=0,0,IF($D79&lt;S79,1,0))</f>
        <v>0</v>
      </c>
      <c r="V79" s="2">
        <f t="shared" si="17"/>
        <v>0</v>
      </c>
      <c r="X79" s="2" t="str">
        <f t="shared" si="18"/>
        <v/>
      </c>
      <c r="Y79" s="2" t="s">
        <v>545</v>
      </c>
      <c r="Z79" s="2" t="s">
        <v>546</v>
      </c>
      <c r="AA79" s="1"/>
      <c r="AH79" s="253">
        <f t="shared" si="19"/>
        <v>89299.844586805921</v>
      </c>
    </row>
    <row r="80" spans="1:34" ht="12.95" customHeight="1" x14ac:dyDescent="0.2">
      <c r="A80" s="221" t="s">
        <v>410</v>
      </c>
      <c r="C80" s="43" t="s">
        <v>147</v>
      </c>
      <c r="D80" s="262">
        <v>6000000</v>
      </c>
      <c r="E80" s="1" t="s">
        <v>39</v>
      </c>
      <c r="F80" s="188">
        <v>0</v>
      </c>
      <c r="G80" s="1" t="s">
        <v>12</v>
      </c>
      <c r="I80" s="187">
        <f>IF(SUM(D68:D79)=0,1,SUMPRODUCT(D68:D79,I68:I79)/SUM(D68:D79))</f>
        <v>34.946401225114855</v>
      </c>
      <c r="J80" s="1" t="s">
        <v>18</v>
      </c>
      <c r="K80" s="254">
        <v>0</v>
      </c>
      <c r="M80" s="208">
        <f>IF(SUM(D68:D79)=0,1,SUMPRODUCT(D68:D79,I68:I79)/SUM(D68:D79))</f>
        <v>34.946401225114855</v>
      </c>
      <c r="O80" s="152"/>
      <c r="Q80" s="152"/>
      <c r="S80" s="2">
        <v>0</v>
      </c>
      <c r="T80" s="2">
        <v>999999999</v>
      </c>
      <c r="U80" s="2">
        <f t="shared" si="22"/>
        <v>0</v>
      </c>
      <c r="V80" s="2">
        <f t="shared" si="17"/>
        <v>0</v>
      </c>
      <c r="W80" s="2">
        <f>IF(Eing_Kosten_Planung_QM&lt;Gesamtinvestition/20,1,0)</f>
        <v>0</v>
      </c>
      <c r="X80" s="2" t="str">
        <f t="shared" si="18"/>
        <v/>
      </c>
      <c r="Y80" s="2" t="s">
        <v>547</v>
      </c>
      <c r="Z80" s="2" t="s">
        <v>548</v>
      </c>
      <c r="AA80" s="2" t="s">
        <v>549</v>
      </c>
      <c r="AH80" s="253">
        <f t="shared" si="19"/>
        <v>240268.43881052939</v>
      </c>
    </row>
    <row r="81" spans="1:27" s="5" customFormat="1" ht="12.95" customHeight="1" x14ac:dyDescent="0.2">
      <c r="A81" s="221" t="s">
        <v>654</v>
      </c>
      <c r="C81" s="39" t="s">
        <v>25</v>
      </c>
      <c r="D81" s="56">
        <f>SUM(D68:D80)</f>
        <v>38650000</v>
      </c>
      <c r="E81" s="5" t="s">
        <v>39</v>
      </c>
      <c r="I81" s="56">
        <f>IF(SUM(D68:D80)=0,"",SUMPRODUCT(D68:D80,I68:I80)/SUM(D68:D80))</f>
        <v>34.946401225114855</v>
      </c>
      <c r="J81" s="5" t="s">
        <v>18</v>
      </c>
      <c r="O81" s="152"/>
      <c r="Q81" s="152"/>
      <c r="S81" s="9">
        <v>0</v>
      </c>
      <c r="T81" s="9">
        <v>999999999</v>
      </c>
      <c r="U81" s="9">
        <f t="shared" si="22"/>
        <v>0</v>
      </c>
      <c r="V81" s="9">
        <f t="shared" si="17"/>
        <v>0</v>
      </c>
      <c r="W81" s="9"/>
      <c r="X81" s="2" t="str">
        <f t="shared" si="18"/>
        <v/>
      </c>
      <c r="Y81" s="2" t="s">
        <v>802</v>
      </c>
      <c r="Z81" s="2" t="s">
        <v>803</v>
      </c>
      <c r="AA81" s="9"/>
    </row>
    <row r="82" spans="1:27" s="5" customFormat="1" ht="12.95" customHeight="1" x14ac:dyDescent="0.2">
      <c r="A82" s="221">
        <v>150</v>
      </c>
      <c r="B82" s="5" t="s">
        <v>186</v>
      </c>
      <c r="C82" s="39"/>
      <c r="D82" s="164" t="s">
        <v>11</v>
      </c>
      <c r="E82" s="165"/>
      <c r="F82" s="63" t="s">
        <v>187</v>
      </c>
      <c r="I82" s="56"/>
      <c r="O82" s="1"/>
      <c r="Q82" s="1"/>
      <c r="S82" s="9"/>
      <c r="T82" s="9"/>
      <c r="U82" s="9"/>
      <c r="V82" s="9"/>
      <c r="W82" s="9"/>
      <c r="X82" s="9"/>
      <c r="Y82" s="9"/>
      <c r="Z82" s="9"/>
      <c r="AA82" s="9"/>
    </row>
    <row r="83" spans="1:27" s="5" customFormat="1" ht="12.95" customHeight="1" x14ac:dyDescent="0.2">
      <c r="A83" s="221" t="s">
        <v>62</v>
      </c>
      <c r="C83" s="43" t="s">
        <v>212</v>
      </c>
      <c r="D83" s="49">
        <f>Eing_Beginnjahr</f>
        <v>2024</v>
      </c>
      <c r="E83" s="1"/>
      <c r="F83" s="49">
        <f>100-SUM(F84:F87)</f>
        <v>20</v>
      </c>
      <c r="G83" s="5" t="s">
        <v>12</v>
      </c>
      <c r="I83" s="6">
        <f>F83</f>
        <v>20</v>
      </c>
      <c r="J83" s="5" t="s">
        <v>12</v>
      </c>
      <c r="O83" s="152"/>
      <c r="Q83" s="152"/>
      <c r="S83" s="9"/>
      <c r="T83" s="9"/>
      <c r="U83" s="9"/>
      <c r="V83" s="9"/>
      <c r="W83" s="9"/>
      <c r="X83" s="9"/>
      <c r="Y83" s="9"/>
      <c r="Z83" s="9"/>
      <c r="AA83" s="9"/>
    </row>
    <row r="84" spans="1:27" s="5" customFormat="1" ht="12.95" customHeight="1" x14ac:dyDescent="0.2">
      <c r="A84" s="221" t="s">
        <v>394</v>
      </c>
      <c r="C84" s="43" t="s">
        <v>213</v>
      </c>
      <c r="D84" s="187">
        <f>D83+1</f>
        <v>2025</v>
      </c>
      <c r="E84" s="1"/>
      <c r="F84" s="285">
        <v>30</v>
      </c>
      <c r="G84" s="5" t="s">
        <v>12</v>
      </c>
      <c r="I84" s="6">
        <f>I83+F84</f>
        <v>50</v>
      </c>
      <c r="J84" s="5" t="s">
        <v>12</v>
      </c>
      <c r="K84" s="209">
        <f>D83+1</f>
        <v>2025</v>
      </c>
      <c r="M84" s="49"/>
      <c r="O84" s="152"/>
      <c r="Q84" s="152"/>
      <c r="S84" s="9"/>
      <c r="T84" s="9"/>
      <c r="U84" s="9"/>
      <c r="V84" s="9"/>
      <c r="W84" s="9"/>
      <c r="X84" s="9"/>
      <c r="Y84" s="9"/>
      <c r="Z84" s="9"/>
      <c r="AA84" s="9"/>
    </row>
    <row r="85" spans="1:27" ht="12.95" customHeight="1" x14ac:dyDescent="0.2">
      <c r="A85" s="221" t="s">
        <v>395</v>
      </c>
      <c r="C85" s="43" t="s">
        <v>214</v>
      </c>
      <c r="D85" s="187">
        <f t="shared" ref="D85:D87" si="23">D84+1</f>
        <v>2026</v>
      </c>
      <c r="F85" s="285">
        <v>40</v>
      </c>
      <c r="G85" s="1" t="s">
        <v>12</v>
      </c>
      <c r="I85" s="6">
        <f>I84+F85</f>
        <v>90</v>
      </c>
      <c r="J85" s="1" t="s">
        <v>12</v>
      </c>
      <c r="K85" s="209">
        <f t="shared" ref="K85:K87" si="24">D84+1</f>
        <v>2026</v>
      </c>
      <c r="M85" s="49"/>
      <c r="O85" s="152"/>
      <c r="Q85" s="152"/>
      <c r="S85" s="2"/>
      <c r="T85" s="2"/>
      <c r="U85" s="2"/>
    </row>
    <row r="86" spans="1:27" ht="12.95" customHeight="1" x14ac:dyDescent="0.2">
      <c r="A86" s="221" t="s">
        <v>396</v>
      </c>
      <c r="C86" s="43" t="s">
        <v>308</v>
      </c>
      <c r="D86" s="187">
        <f t="shared" si="23"/>
        <v>2027</v>
      </c>
      <c r="F86" s="285">
        <v>10</v>
      </c>
      <c r="G86" s="1" t="s">
        <v>12</v>
      </c>
      <c r="I86" s="6">
        <f>I85+F86</f>
        <v>100</v>
      </c>
      <c r="J86" s="1" t="s">
        <v>12</v>
      </c>
      <c r="K86" s="209">
        <f t="shared" si="24"/>
        <v>2027</v>
      </c>
      <c r="M86" s="49"/>
      <c r="O86" s="152"/>
      <c r="Q86" s="152"/>
      <c r="S86" s="2"/>
      <c r="T86" s="2"/>
      <c r="U86" s="2"/>
    </row>
    <row r="87" spans="1:27" ht="12.95" customHeight="1" x14ac:dyDescent="0.2">
      <c r="A87" s="221" t="s">
        <v>397</v>
      </c>
      <c r="C87" s="43" t="s">
        <v>309</v>
      </c>
      <c r="D87" s="187">
        <f t="shared" si="23"/>
        <v>2028</v>
      </c>
      <c r="F87" s="285"/>
      <c r="G87" s="1" t="s">
        <v>12</v>
      </c>
      <c r="I87" s="6">
        <f>I86+F87</f>
        <v>100</v>
      </c>
      <c r="J87" s="1" t="s">
        <v>12</v>
      </c>
      <c r="K87" s="209">
        <f t="shared" si="24"/>
        <v>2028</v>
      </c>
      <c r="M87" s="49"/>
      <c r="O87" s="152"/>
      <c r="Q87" s="152"/>
      <c r="S87" s="2"/>
      <c r="T87" s="2"/>
      <c r="U87" s="2"/>
    </row>
    <row r="88" spans="1:27" ht="12.95" customHeight="1" x14ac:dyDescent="0.2">
      <c r="A88" s="212"/>
      <c r="C88" s="43"/>
      <c r="F88" s="242">
        <v>151</v>
      </c>
      <c r="S88" s="2"/>
      <c r="T88" s="2"/>
      <c r="U88" s="2"/>
    </row>
    <row r="89" spans="1:27" ht="12.95" customHeight="1" x14ac:dyDescent="0.2">
      <c r="A89" s="221">
        <v>155</v>
      </c>
      <c r="B89" s="5" t="s">
        <v>333</v>
      </c>
      <c r="C89" s="220" t="s">
        <v>364</v>
      </c>
      <c r="D89" s="260">
        <v>5000000</v>
      </c>
      <c r="E89" s="1" t="s">
        <v>39</v>
      </c>
      <c r="F89" s="1">
        <f>IF(Gesamtinvestition&gt;0,ROUND(Eing_Eigenkapital/Gesamtinvestition*100,0),"")</f>
        <v>13</v>
      </c>
      <c r="G89" s="1" t="s">
        <v>12</v>
      </c>
      <c r="I89" s="1" t="s">
        <v>875</v>
      </c>
      <c r="O89" s="152"/>
      <c r="Q89" s="152"/>
      <c r="S89" s="2">
        <f>5%*Gesamtinvestition</f>
        <v>1932500</v>
      </c>
      <c r="T89" s="2">
        <f>Gesamtinvestition</f>
        <v>38650000</v>
      </c>
      <c r="U89" s="2">
        <f t="shared" ref="U89" si="25">IF($D89&lt;S89,1,0)</f>
        <v>0</v>
      </c>
      <c r="V89" s="2">
        <f t="shared" ref="V89" si="26">IF($D89&gt;T89,1,0)</f>
        <v>0</v>
      </c>
      <c r="X89" s="2" t="str">
        <f t="shared" ref="X89" si="27">IF(U89&gt;0,Y89,"")&amp;IF(V89&gt;0,Z89,"")&amp;IF(W89&gt;0,AA89,"")</f>
        <v/>
      </c>
      <c r="Y89" s="2" t="s">
        <v>804</v>
      </c>
      <c r="Z89" s="2" t="s">
        <v>805</v>
      </c>
      <c r="AA89" s="1"/>
    </row>
    <row r="90" spans="1:27" ht="12.95" customHeight="1" x14ac:dyDescent="0.2">
      <c r="A90" s="221">
        <v>156</v>
      </c>
      <c r="B90" s="5"/>
      <c r="C90" s="220" t="s">
        <v>872</v>
      </c>
      <c r="D90" s="284">
        <f>SUM(E3_Verbraucher!$D$23:$XFD$23)</f>
        <v>8296200</v>
      </c>
      <c r="E90" s="1" t="s">
        <v>39</v>
      </c>
      <c r="F90" s="1">
        <f>IF(Gesamtinvestition&gt;0,ROUND(Summe_einmalige_Anschlusskosten/Gesamtinvestition*100,0),"")</f>
        <v>21</v>
      </c>
      <c r="G90" s="1" t="s">
        <v>12</v>
      </c>
      <c r="I90" s="1" t="s">
        <v>875</v>
      </c>
      <c r="K90" s="287">
        <f>SUM(E3_Verbraucher!$D$23:$XFD$23)</f>
        <v>8296200</v>
      </c>
      <c r="O90" s="152"/>
      <c r="Q90" s="152"/>
      <c r="S90" s="2"/>
      <c r="T90" s="2"/>
      <c r="U90" s="2"/>
      <c r="AA90" s="1"/>
    </row>
    <row r="91" spans="1:27" ht="12.95" customHeight="1" x14ac:dyDescent="0.2">
      <c r="A91" s="212"/>
      <c r="C91" s="43"/>
      <c r="S91" s="2"/>
      <c r="T91" s="2"/>
      <c r="U91" s="2"/>
    </row>
    <row r="92" spans="1:27" ht="12.95" customHeight="1" x14ac:dyDescent="0.2">
      <c r="A92" s="221">
        <v>160</v>
      </c>
      <c r="B92" s="5" t="s">
        <v>74</v>
      </c>
      <c r="C92" s="39" t="s">
        <v>204</v>
      </c>
      <c r="S92" s="2"/>
      <c r="T92" s="2"/>
      <c r="U92" s="2"/>
      <c r="X92" s="2" t="str">
        <f>X93&amp;X94&amp;X97&amp;X95</f>
        <v>160b: Die Kreditlaufzeit sollte nicht über 25 Jahren liegen!</v>
      </c>
    </row>
    <row r="93" spans="1:27" ht="12.95" customHeight="1" x14ac:dyDescent="0.2">
      <c r="A93" s="221" t="s">
        <v>62</v>
      </c>
      <c r="C93" s="43" t="s">
        <v>64</v>
      </c>
      <c r="D93" s="260">
        <v>25000000</v>
      </c>
      <c r="E93" s="1" t="s">
        <v>39</v>
      </c>
      <c r="F93" s="1">
        <f>IF(Gesamtinvestition&gt;0,ROUND(Eing_Kredit_1/Gesamtinvestition*100,0),"")</f>
        <v>65</v>
      </c>
      <c r="G93" s="1" t="s">
        <v>12</v>
      </c>
      <c r="I93" s="1" t="s">
        <v>875</v>
      </c>
      <c r="O93" s="152"/>
      <c r="Q93" s="152"/>
      <c r="S93" s="2">
        <v>0</v>
      </c>
      <c r="T93" s="2">
        <f>Gesamtinvestition</f>
        <v>38650000</v>
      </c>
      <c r="U93" s="2">
        <f>IF($D93&lt;S93,1,0)</f>
        <v>0</v>
      </c>
      <c r="V93" s="2">
        <f>IF($D93&gt;T93,1,0)</f>
        <v>0</v>
      </c>
      <c r="X93" s="2" t="str">
        <f>IF(U93&gt;0,Y93,"")&amp;IF(V93&gt;0,Z93,"")&amp;IF(W93&gt;0,AA93,"")</f>
        <v/>
      </c>
      <c r="Y93" s="2" t="s">
        <v>550</v>
      </c>
      <c r="Z93" s="2" t="s">
        <v>551</v>
      </c>
    </row>
    <row r="94" spans="1:27" ht="12.95" customHeight="1" x14ac:dyDescent="0.2">
      <c r="A94" s="221" t="s">
        <v>394</v>
      </c>
      <c r="C94" s="43" t="s">
        <v>9</v>
      </c>
      <c r="D94" s="260">
        <v>30</v>
      </c>
      <c r="E94" s="1" t="s">
        <v>18</v>
      </c>
      <c r="O94" s="152"/>
      <c r="Q94" s="152"/>
      <c r="S94" s="2">
        <v>0</v>
      </c>
      <c r="T94" s="2">
        <v>25</v>
      </c>
      <c r="U94" s="2">
        <f>IF($D94&lt;S94,Eing_Kredit_1,0)</f>
        <v>0</v>
      </c>
      <c r="V94" s="2">
        <f>IF($D94&gt;T94,Eing_Kredit_1,0)</f>
        <v>25000000</v>
      </c>
      <c r="X94" s="2" t="str">
        <f>IF(U94&gt;0,Y94,"")&amp;IF(V94&gt;0,Z94,"")&amp;IF(W94&gt;0,AA94,"")</f>
        <v>160b: Die Kreditlaufzeit sollte nicht über 25 Jahren liegen!</v>
      </c>
      <c r="Y94" s="2" t="s">
        <v>552</v>
      </c>
      <c r="Z94" s="2" t="s">
        <v>553</v>
      </c>
    </row>
    <row r="95" spans="1:27" ht="12.95" customHeight="1" x14ac:dyDescent="0.2">
      <c r="A95" s="221" t="s">
        <v>395</v>
      </c>
      <c r="C95" s="43" t="s">
        <v>86</v>
      </c>
      <c r="D95" s="258">
        <v>2024</v>
      </c>
      <c r="O95" s="152"/>
      <c r="Q95" s="152"/>
      <c r="S95" s="2">
        <f>Eing_Beginnjahr-1</f>
        <v>2023</v>
      </c>
      <c r="T95" s="2">
        <f>S95+20</f>
        <v>2043</v>
      </c>
      <c r="U95" s="2">
        <f>IF($D95&lt;=S95,Eing_Kredit_1,0)</f>
        <v>0</v>
      </c>
      <c r="V95" s="2">
        <f>IF($D95&gt;T95,Eing_Kredit_1,0)</f>
        <v>0</v>
      </c>
      <c r="X95" s="2" t="str">
        <f>IF(U95&gt;0,Y95,"")&amp;IF(V95&gt;0,Z95,"")&amp;IF(W95&gt;0,AA95,"")</f>
        <v/>
      </c>
      <c r="Y95" s="2" t="s">
        <v>554</v>
      </c>
      <c r="Z95" s="2" t="s">
        <v>555</v>
      </c>
    </row>
    <row r="96" spans="1:27" ht="12.95" customHeight="1" x14ac:dyDescent="0.2">
      <c r="A96" s="221" t="s">
        <v>396</v>
      </c>
      <c r="C96" s="43" t="s">
        <v>310</v>
      </c>
      <c r="D96" s="187">
        <v>2028</v>
      </c>
      <c r="K96" s="209">
        <f>Eing_Kreditstartjahr_1+1</f>
        <v>2025</v>
      </c>
      <c r="O96" s="152"/>
      <c r="Q96" s="152"/>
      <c r="S96" s="2">
        <f>Eing_Kreditstartjahr_1-1</f>
        <v>2023</v>
      </c>
      <c r="T96" s="2">
        <f>Eing_Kreditstartjahr_1+5</f>
        <v>2029</v>
      </c>
      <c r="U96" s="2">
        <f>IF($D96&lt;=S96,Eing_Kredit_1,0)</f>
        <v>0</v>
      </c>
      <c r="V96" s="2">
        <f>IF($D96&gt;T96,Eing_Kredit_1,0)</f>
        <v>0</v>
      </c>
      <c r="X96" s="2" t="str">
        <f>IF(U96&gt;0,Y96,"")&amp;IF(V96&gt;0,Z96,"")&amp;IF(W96&gt;0,AA96,"")</f>
        <v/>
      </c>
      <c r="Y96" s="2" t="s">
        <v>556</v>
      </c>
      <c r="Z96" s="2" t="s">
        <v>557</v>
      </c>
    </row>
    <row r="97" spans="1:26" ht="12.95" customHeight="1" x14ac:dyDescent="0.2">
      <c r="A97" s="221" t="s">
        <v>397</v>
      </c>
      <c r="C97" s="43" t="s">
        <v>10</v>
      </c>
      <c r="D97" s="257">
        <v>3</v>
      </c>
      <c r="E97" s="1" t="s">
        <v>12</v>
      </c>
      <c r="O97" s="152"/>
      <c r="Q97" s="152"/>
      <c r="S97" s="2">
        <v>2</v>
      </c>
      <c r="T97" s="2">
        <v>10</v>
      </c>
      <c r="U97" s="2">
        <f>IF($D97&lt;=S97,Eing_Kredit_1,0)</f>
        <v>0</v>
      </c>
      <c r="V97" s="2">
        <f>IF($D97&gt;T97,Eing_Kredit_1,0)</f>
        <v>0</v>
      </c>
      <c r="X97" s="2" t="str">
        <f>IF(U97&gt;0,Y97,"")&amp;IF(V97&gt;0,Z97,"")&amp;IF(W97&gt;0,AA97,"")</f>
        <v/>
      </c>
      <c r="Y97" s="2" t="s">
        <v>558</v>
      </c>
      <c r="Z97" s="2" t="s">
        <v>559</v>
      </c>
    </row>
    <row r="98" spans="1:26" ht="12.95" customHeight="1" x14ac:dyDescent="0.2">
      <c r="A98" s="212"/>
      <c r="S98" s="2"/>
      <c r="T98" s="2"/>
      <c r="U98" s="2"/>
    </row>
    <row r="99" spans="1:26" ht="12.95" customHeight="1" x14ac:dyDescent="0.2">
      <c r="A99" s="212"/>
      <c r="B99" s="5"/>
      <c r="C99" s="166" t="s">
        <v>205</v>
      </c>
      <c r="S99" s="2"/>
      <c r="T99" s="2"/>
      <c r="U99" s="2"/>
      <c r="X99" s="2" t="str">
        <f>X100&amp;X101&amp;X104&amp;X102</f>
        <v/>
      </c>
    </row>
    <row r="100" spans="1:26" ht="12.95" customHeight="1" x14ac:dyDescent="0.2">
      <c r="A100" s="221" t="s">
        <v>62</v>
      </c>
      <c r="C100" s="43" t="s">
        <v>64</v>
      </c>
      <c r="D100" s="260">
        <v>3000000</v>
      </c>
      <c r="E100" s="1" t="s">
        <v>39</v>
      </c>
      <c r="F100" s="1">
        <f>IF(Gesamtinvestition&gt;0,ROUND(Eing_Kredit_2/Gesamtinvestition*100,0),"")</f>
        <v>8</v>
      </c>
      <c r="G100" s="1" t="s">
        <v>12</v>
      </c>
      <c r="I100" s="1" t="s">
        <v>875</v>
      </c>
      <c r="O100" s="152"/>
      <c r="Q100" s="152"/>
      <c r="S100" s="2">
        <v>0</v>
      </c>
      <c r="T100" s="2">
        <f>Gesamtinvestition</f>
        <v>38650000</v>
      </c>
      <c r="U100" s="2">
        <f>IF($D100&lt;S100,1,0)</f>
        <v>0</v>
      </c>
      <c r="V100" s="2">
        <f>IF($D100&gt;T100,1,0)</f>
        <v>0</v>
      </c>
      <c r="X100" s="2" t="str">
        <f>IF(U100&gt;0,Y100,"")&amp;IF(V100&gt;0,Z100,"")&amp;IF(W100&gt;0,AA100,"")</f>
        <v/>
      </c>
      <c r="Y100" s="2" t="s">
        <v>550</v>
      </c>
      <c r="Z100" s="2" t="s">
        <v>551</v>
      </c>
    </row>
    <row r="101" spans="1:26" ht="12.95" customHeight="1" x14ac:dyDescent="0.2">
      <c r="A101" s="221" t="s">
        <v>394</v>
      </c>
      <c r="C101" s="43" t="s">
        <v>9</v>
      </c>
      <c r="D101" s="258">
        <v>5</v>
      </c>
      <c r="E101" s="1" t="s">
        <v>18</v>
      </c>
      <c r="O101" s="152"/>
      <c r="Q101" s="152"/>
      <c r="S101" s="2">
        <v>0</v>
      </c>
      <c r="T101" s="2">
        <v>25</v>
      </c>
      <c r="U101" s="2">
        <f>IF($D101&lt;S101,Eing_Kredit_2,0)</f>
        <v>0</v>
      </c>
      <c r="V101" s="2">
        <f>IF($D101&gt;T101,Eing_Kredit_2,0)</f>
        <v>0</v>
      </c>
      <c r="X101" s="2" t="str">
        <f>IF(U101&gt;0,Y101,"")&amp;IF(V101&gt;0,Z101,"")&amp;IF(W101&gt;0,AA101,"")</f>
        <v/>
      </c>
      <c r="Y101" s="2" t="s">
        <v>552</v>
      </c>
      <c r="Z101" s="2" t="s">
        <v>553</v>
      </c>
    </row>
    <row r="102" spans="1:26" ht="12.95" customHeight="1" x14ac:dyDescent="0.2">
      <c r="A102" s="221" t="s">
        <v>395</v>
      </c>
      <c r="C102" s="43" t="s">
        <v>86</v>
      </c>
      <c r="D102" s="258">
        <v>2026</v>
      </c>
      <c r="O102" s="152"/>
      <c r="Q102" s="152"/>
      <c r="S102" s="2">
        <f>Eing_Beginnjahr-1</f>
        <v>2023</v>
      </c>
      <c r="T102" s="2">
        <f>S102+20</f>
        <v>2043</v>
      </c>
      <c r="U102" s="2">
        <f>IF($D102&lt;=S102,Eing_Kredit_2,0)</f>
        <v>0</v>
      </c>
      <c r="V102" s="2">
        <f>IF($D102&gt;T102,Eing_Kredit_2,0)</f>
        <v>0</v>
      </c>
      <c r="X102" s="2" t="str">
        <f>IF(U102&gt;0,Y102,"")&amp;IF(V102&gt;0,Z102,"")&amp;IF(W102&gt;0,AA102,"")</f>
        <v/>
      </c>
      <c r="Y102" s="2" t="s">
        <v>554</v>
      </c>
      <c r="Z102" s="2" t="s">
        <v>555</v>
      </c>
    </row>
    <row r="103" spans="1:26" ht="12.95" customHeight="1" x14ac:dyDescent="0.2">
      <c r="A103" s="221" t="s">
        <v>396</v>
      </c>
      <c r="C103" s="43" t="s">
        <v>310</v>
      </c>
      <c r="D103" s="187">
        <f>Eing_Kreditstartjahr_2+1</f>
        <v>2027</v>
      </c>
      <c r="K103" s="209">
        <f>Eing_Kreditstartjahr_2+1</f>
        <v>2027</v>
      </c>
      <c r="O103" s="152"/>
      <c r="Q103" s="152"/>
      <c r="S103" s="2">
        <f>Eing_Kreditstartjahr_2-1</f>
        <v>2025</v>
      </c>
      <c r="T103" s="2">
        <f>Eing_Kreditstartjahr_2+5</f>
        <v>2031</v>
      </c>
      <c r="U103" s="2">
        <f>IF($D103&lt;=S103,Eing_Kredit_2,0)</f>
        <v>0</v>
      </c>
      <c r="V103" s="2">
        <f>IF($D103&gt;T103,Eing_Kredit_2,0)</f>
        <v>0</v>
      </c>
      <c r="X103" s="2" t="str">
        <f>IF(U103&gt;0,Y103,"")&amp;IF(V103&gt;0,Z103,"")&amp;IF(W103&gt;0,AA103,"")</f>
        <v/>
      </c>
      <c r="Y103" s="2" t="s">
        <v>556</v>
      </c>
      <c r="Z103" s="2" t="s">
        <v>557</v>
      </c>
    </row>
    <row r="104" spans="1:26" ht="12.95" customHeight="1" x14ac:dyDescent="0.2">
      <c r="A104" s="221" t="s">
        <v>397</v>
      </c>
      <c r="C104" s="43" t="s">
        <v>10</v>
      </c>
      <c r="D104" s="257">
        <v>5</v>
      </c>
      <c r="E104" s="1" t="s">
        <v>12</v>
      </c>
      <c r="O104" s="152"/>
      <c r="Q104" s="152"/>
      <c r="S104" s="2">
        <v>2</v>
      </c>
      <c r="T104" s="2">
        <v>10</v>
      </c>
      <c r="U104" s="2">
        <f>IF($D104&lt;=S104,Eing_Kredit_2,0)</f>
        <v>0</v>
      </c>
      <c r="V104" s="2">
        <f>IF($D104&gt;T104,Eing_Kredit_2,0)</f>
        <v>0</v>
      </c>
      <c r="X104" s="2" t="str">
        <f>IF(U104&gt;0,Y104,"")&amp;IF(V104&gt;0,Z104,"")&amp;IF(W104&gt;0,AA104,"")</f>
        <v/>
      </c>
      <c r="Y104" s="2" t="s">
        <v>558</v>
      </c>
      <c r="Z104" s="2" t="s">
        <v>559</v>
      </c>
    </row>
    <row r="105" spans="1:26" ht="12.95" customHeight="1" x14ac:dyDescent="0.2">
      <c r="A105" s="212"/>
      <c r="S105" s="2"/>
      <c r="T105" s="2"/>
      <c r="U105" s="2"/>
    </row>
    <row r="106" spans="1:26" ht="12.95" customHeight="1" x14ac:dyDescent="0.2">
      <c r="A106" s="221">
        <v>165</v>
      </c>
      <c r="B106" s="5" t="s">
        <v>1</v>
      </c>
      <c r="S106" s="2"/>
      <c r="T106" s="2"/>
      <c r="U106" s="2"/>
    </row>
    <row r="107" spans="1:26" ht="12.95" customHeight="1" x14ac:dyDescent="0.2">
      <c r="A107" s="221">
        <v>166</v>
      </c>
      <c r="C107" s="39" t="s">
        <v>67</v>
      </c>
      <c r="S107" s="2"/>
      <c r="T107" s="2"/>
      <c r="U107" s="2"/>
    </row>
    <row r="108" spans="1:26" ht="12.95" customHeight="1" x14ac:dyDescent="0.2">
      <c r="A108" s="221" t="s">
        <v>62</v>
      </c>
      <c r="C108" s="43" t="s">
        <v>65</v>
      </c>
      <c r="D108" s="260">
        <v>1000000</v>
      </c>
      <c r="E108" s="1" t="s">
        <v>39</v>
      </c>
      <c r="F108" s="1">
        <f>IF(Gesamtinvestition&gt;0,ROUND(Einmaliger_Förderbeitrag_1/Gesamtinvestition*100,0),"")</f>
        <v>3</v>
      </c>
      <c r="G108" s="1" t="s">
        <v>12</v>
      </c>
      <c r="I108" s="1" t="s">
        <v>875</v>
      </c>
      <c r="O108" s="152"/>
      <c r="Q108" s="152"/>
      <c r="S108" s="2">
        <v>0</v>
      </c>
      <c r="T108" s="2">
        <f>Gesamtinvestition</f>
        <v>38650000</v>
      </c>
      <c r="U108" s="2">
        <f>IF($D108&lt;S108,1,0)</f>
        <v>0</v>
      </c>
      <c r="V108" s="2">
        <f>IF($D108&gt;T108,1,0)</f>
        <v>0</v>
      </c>
      <c r="X108" s="2" t="str">
        <f>IF(U108&gt;0,Y108,"")&amp;IF(V108&gt;0,Z108,"")&amp;IF(W108&gt;0,AA108,"")</f>
        <v/>
      </c>
      <c r="Y108" s="2" t="s">
        <v>560</v>
      </c>
      <c r="Z108" s="2" t="s">
        <v>561</v>
      </c>
    </row>
    <row r="109" spans="1:26" ht="12.95" customHeight="1" x14ac:dyDescent="0.2">
      <c r="A109" s="221" t="s">
        <v>394</v>
      </c>
      <c r="C109" s="43" t="s">
        <v>87</v>
      </c>
      <c r="D109" s="258">
        <v>2028</v>
      </c>
      <c r="O109" s="152"/>
      <c r="Q109" s="152"/>
      <c r="S109" s="2">
        <f>Eing_Beginnjahr</f>
        <v>2024</v>
      </c>
      <c r="T109" s="2">
        <f>S109+10</f>
        <v>2034</v>
      </c>
      <c r="U109" s="2">
        <f>IF($D109&lt;S109,Einmaliger_Förderbeitrag_1,0)</f>
        <v>0</v>
      </c>
      <c r="V109" s="2">
        <f>IF($D109&gt;T109,Einmaliger_Förderbeitrag_1,0)</f>
        <v>0</v>
      </c>
      <c r="X109" s="2" t="str">
        <f>IF(U109&gt;0,Y109,"")&amp;IF(V109&gt;0,Z109,"")&amp;IF(W109&gt;0,AA109,"")</f>
        <v/>
      </c>
      <c r="Y109" s="2" t="s">
        <v>563</v>
      </c>
      <c r="Z109" s="2" t="s">
        <v>562</v>
      </c>
    </row>
    <row r="110" spans="1:26" ht="12.95" customHeight="1" x14ac:dyDescent="0.2">
      <c r="A110" s="221" t="s">
        <v>62</v>
      </c>
      <c r="B110" s="5"/>
      <c r="C110" s="43" t="s">
        <v>66</v>
      </c>
      <c r="D110" s="260">
        <v>1200000</v>
      </c>
      <c r="E110" s="1" t="s">
        <v>39</v>
      </c>
      <c r="F110" s="1">
        <f>IF(Gesamtinvestition&gt;0,ROUND(Einmaliger_Förderbeitrag_2/Gesamtinvestition*100,0),"")</f>
        <v>3</v>
      </c>
      <c r="G110" s="1" t="s">
        <v>12</v>
      </c>
      <c r="I110" s="1" t="s">
        <v>875</v>
      </c>
      <c r="O110" s="152"/>
      <c r="Q110" s="152"/>
      <c r="S110" s="2">
        <v>0</v>
      </c>
      <c r="T110" s="2">
        <f>Gesamtinvestition</f>
        <v>38650000</v>
      </c>
      <c r="U110" s="2">
        <f>IF($D110&lt;S110,1,0)</f>
        <v>0</v>
      </c>
      <c r="V110" s="2">
        <f>IF($D110&gt;T110,1,0)</f>
        <v>0</v>
      </c>
      <c r="X110" s="2" t="str">
        <f>IF(U110&gt;0,Y110,"")&amp;IF(V110&gt;0,Z110,"")&amp;IF(W110&gt;0,AA110,"")</f>
        <v/>
      </c>
      <c r="Y110" s="2" t="s">
        <v>564</v>
      </c>
      <c r="Z110" s="2" t="s">
        <v>565</v>
      </c>
    </row>
    <row r="111" spans="1:26" ht="12.95" customHeight="1" x14ac:dyDescent="0.2">
      <c r="A111" s="221" t="s">
        <v>394</v>
      </c>
      <c r="C111" s="43" t="s">
        <v>87</v>
      </c>
      <c r="D111" s="258">
        <v>2029</v>
      </c>
      <c r="O111" s="152"/>
      <c r="Q111" s="152"/>
      <c r="S111" s="2">
        <f>Eing_Beginnjahr</f>
        <v>2024</v>
      </c>
      <c r="T111" s="2">
        <f>S111+10</f>
        <v>2034</v>
      </c>
      <c r="U111" s="2">
        <f>IF($D111&lt;S111,Einmaliger_Förderbeitrag_2,0)</f>
        <v>0</v>
      </c>
      <c r="V111" s="2">
        <f>IF($D111&gt;T111,Einmaliger_Förderbeitrag_2,0)</f>
        <v>0</v>
      </c>
      <c r="X111" s="2" t="str">
        <f>IF(U111&gt;0,Y111,"")&amp;IF(V111&gt;0,Z111,"")&amp;IF(W111&gt;0,AA111,"")</f>
        <v/>
      </c>
      <c r="Y111" s="2" t="s">
        <v>566</v>
      </c>
      <c r="Z111" s="2" t="s">
        <v>567</v>
      </c>
    </row>
    <row r="112" spans="1:26" ht="12.95" customHeight="1" x14ac:dyDescent="0.2">
      <c r="A112" s="221" t="s">
        <v>62</v>
      </c>
      <c r="B112" s="5"/>
      <c r="C112" s="43" t="s">
        <v>334</v>
      </c>
      <c r="D112" s="260">
        <v>800000</v>
      </c>
      <c r="E112" s="1" t="s">
        <v>39</v>
      </c>
      <c r="F112" s="1">
        <f>IF(Gesamtinvestition&gt;0,ROUND(Einmaliger_Förderbeitrag_3/Gesamtinvestition*100,0),"")</f>
        <v>2</v>
      </c>
      <c r="G112" s="1" t="s">
        <v>12</v>
      </c>
      <c r="I112" s="1" t="s">
        <v>875</v>
      </c>
      <c r="O112" s="152"/>
      <c r="Q112" s="152"/>
      <c r="S112" s="2">
        <v>0</v>
      </c>
      <c r="T112" s="2">
        <f>Gesamtinvestition</f>
        <v>38650000</v>
      </c>
      <c r="U112" s="2">
        <f>IF($D112&lt;S112,1,0)</f>
        <v>0</v>
      </c>
      <c r="V112" s="2">
        <f>IF($D112&gt;T112,1,0)</f>
        <v>0</v>
      </c>
      <c r="X112" s="2" t="str">
        <f t="shared" ref="X112:X113" si="28">IF(U112&gt;0,Y112,"")&amp;IF(V112&gt;0,Z112,"")&amp;IF(W112&gt;0,AA112,"")</f>
        <v/>
      </c>
      <c r="Y112" s="2" t="s">
        <v>568</v>
      </c>
      <c r="Z112" s="2" t="s">
        <v>569</v>
      </c>
    </row>
    <row r="113" spans="1:26" ht="12.95" customHeight="1" x14ac:dyDescent="0.2">
      <c r="A113" s="221" t="s">
        <v>394</v>
      </c>
      <c r="C113" s="43" t="s">
        <v>87</v>
      </c>
      <c r="D113" s="258">
        <v>2031</v>
      </c>
      <c r="O113" s="152"/>
      <c r="Q113" s="152"/>
      <c r="S113" s="2">
        <f>Eing_Beginnjahr</f>
        <v>2024</v>
      </c>
      <c r="T113" s="2">
        <f>S113+10</f>
        <v>2034</v>
      </c>
      <c r="U113" s="2">
        <f>IF($D113&lt;S113,Einmaliger_Förderbeitrag_3,0)</f>
        <v>0</v>
      </c>
      <c r="V113" s="2">
        <f>IF($D113&gt;T113,Einmaliger_Förderbeitrag_3,0)</f>
        <v>0</v>
      </c>
      <c r="X113" s="2" t="str">
        <f t="shared" si="28"/>
        <v/>
      </c>
      <c r="Y113" s="2" t="s">
        <v>570</v>
      </c>
      <c r="Z113" s="2" t="s">
        <v>571</v>
      </c>
    </row>
    <row r="114" spans="1:26" ht="12.95" customHeight="1" x14ac:dyDescent="0.2">
      <c r="A114" s="221">
        <v>167</v>
      </c>
      <c r="C114" s="39" t="s">
        <v>77</v>
      </c>
      <c r="D114" s="4"/>
      <c r="S114" s="2"/>
      <c r="T114" s="2"/>
      <c r="U114" s="2"/>
    </row>
    <row r="115" spans="1:26" ht="12.95" customHeight="1" x14ac:dyDescent="0.2">
      <c r="A115" s="221" t="s">
        <v>62</v>
      </c>
      <c r="C115" s="43" t="s">
        <v>339</v>
      </c>
      <c r="D115" s="260"/>
      <c r="E115" s="1" t="s">
        <v>40</v>
      </c>
      <c r="F115" s="1">
        <f>IF(Gesamtinvestition&gt;0,ROUND(Eing_jährlicher_Förderbeitrag_1*Eing_Förderung_wiederholend_Laufzeit_1/Gesamtinvestition*100,0),"")</f>
        <v>0</v>
      </c>
      <c r="G115" s="1" t="s">
        <v>12</v>
      </c>
      <c r="I115" s="1" t="s">
        <v>875</v>
      </c>
      <c r="O115" s="152"/>
      <c r="Q115" s="152"/>
      <c r="S115" s="2">
        <v>0</v>
      </c>
      <c r="T115" s="2">
        <f>IF(Eing_Förderung_wiederholend_Laufzeit_1=0,0,Gesamtinvestition/Eing_Förderung_wiederholend_Laufzeit_1)</f>
        <v>0</v>
      </c>
      <c r="U115" s="2">
        <f>IF($D115&lt;S115,1,0)</f>
        <v>0</v>
      </c>
      <c r="V115" s="2">
        <f t="shared" ref="V115:V120" si="29">IF($D115&gt;T115,1,0)</f>
        <v>0</v>
      </c>
      <c r="X115" s="2" t="str">
        <f>IF(U115&gt;0,Y115,"")&amp;IF(V115&gt;0,Z115,"")&amp;IF(W115&gt;0,AA115,"")</f>
        <v/>
      </c>
      <c r="Y115" s="2" t="s">
        <v>572</v>
      </c>
      <c r="Z115" s="2" t="s">
        <v>573</v>
      </c>
    </row>
    <row r="116" spans="1:26" ht="12.95" customHeight="1" x14ac:dyDescent="0.2">
      <c r="A116" s="221" t="s">
        <v>394</v>
      </c>
      <c r="C116" s="43" t="s">
        <v>338</v>
      </c>
      <c r="D116" s="260"/>
      <c r="E116" s="1" t="s">
        <v>62</v>
      </c>
      <c r="O116" s="152"/>
      <c r="Q116" s="152"/>
      <c r="S116" s="2">
        <v>2</v>
      </c>
      <c r="T116" s="2">
        <v>25</v>
      </c>
      <c r="U116" s="2">
        <f>IF(0&lt;$D116&lt;S116,1,0)</f>
        <v>0</v>
      </c>
      <c r="V116" s="2">
        <f t="shared" si="29"/>
        <v>0</v>
      </c>
      <c r="X116" s="2" t="str">
        <f>IF(U116&gt;0,Y116,"")&amp;IF(V116&gt;0,Z116,"")&amp;IF(W116&gt;0,AA116,"")</f>
        <v/>
      </c>
      <c r="Y116" s="2" t="s">
        <v>574</v>
      </c>
      <c r="Z116" s="2" t="s">
        <v>575</v>
      </c>
    </row>
    <row r="117" spans="1:26" ht="12.95" customHeight="1" x14ac:dyDescent="0.2">
      <c r="A117" s="221" t="s">
        <v>395</v>
      </c>
      <c r="C117" s="43" t="s">
        <v>340</v>
      </c>
      <c r="D117" s="258"/>
      <c r="O117" s="152"/>
      <c r="Q117" s="152"/>
      <c r="S117" s="2">
        <f>Eing_Beginnjahr</f>
        <v>2024</v>
      </c>
      <c r="T117" s="2">
        <f>S117+10</f>
        <v>2034</v>
      </c>
      <c r="U117" s="2">
        <f>IF($D117&lt;S117,Eing_jährlicher_Förderbeitrag_1,0)</f>
        <v>0</v>
      </c>
      <c r="V117" s="2">
        <f t="shared" si="29"/>
        <v>0</v>
      </c>
      <c r="X117" s="2" t="str">
        <f>IF(U117&gt;0,Y117,"")&amp;IF(V117&gt;0,Z117,"")&amp;IF(W117&gt;0,AA117,"")</f>
        <v/>
      </c>
      <c r="Y117" s="2" t="s">
        <v>577</v>
      </c>
      <c r="Z117" s="2" t="s">
        <v>576</v>
      </c>
    </row>
    <row r="118" spans="1:26" ht="12.95" customHeight="1" x14ac:dyDescent="0.2">
      <c r="A118" s="221" t="s">
        <v>62</v>
      </c>
      <c r="C118" s="43" t="s">
        <v>335</v>
      </c>
      <c r="D118" s="260"/>
      <c r="E118" s="1" t="s">
        <v>40</v>
      </c>
      <c r="F118" s="1">
        <f>IF(Gesamtinvestition&gt;0,ROUND(Eing_jährlicher_Förderbeitrag_2*Eing_Förderung_wiederholend_Laufzeit_2/Gesamtinvestition*100,0),"")</f>
        <v>0</v>
      </c>
      <c r="G118" s="1" t="s">
        <v>12</v>
      </c>
      <c r="I118" s="1" t="s">
        <v>875</v>
      </c>
      <c r="O118" s="152"/>
      <c r="Q118" s="152"/>
      <c r="S118" s="2">
        <v>0</v>
      </c>
      <c r="T118" s="2">
        <f>IF(Eing_Förderung_wiederholend_Laufzeit_2=0,0,Gesamtinvestition/Eing_Förderung_wiederholend_Laufzeit_2)</f>
        <v>0</v>
      </c>
      <c r="U118" s="2">
        <f>IF($D118&lt;S118,1,0)</f>
        <v>0</v>
      </c>
      <c r="V118" s="2">
        <f t="shared" si="29"/>
        <v>0</v>
      </c>
      <c r="X118" s="2" t="str">
        <f t="shared" ref="X118:X120" si="30">IF(U118&gt;0,Y118,"")&amp;IF(V118&gt;0,Z118,"")&amp;IF(W118&gt;0,AA118,"")</f>
        <v/>
      </c>
      <c r="Y118" s="2" t="s">
        <v>578</v>
      </c>
      <c r="Z118" s="2" t="s">
        <v>579</v>
      </c>
    </row>
    <row r="119" spans="1:26" ht="12.95" customHeight="1" x14ac:dyDescent="0.2">
      <c r="A119" s="221" t="s">
        <v>394</v>
      </c>
      <c r="C119" s="43" t="s">
        <v>336</v>
      </c>
      <c r="D119" s="260"/>
      <c r="E119" s="1" t="s">
        <v>62</v>
      </c>
      <c r="O119" s="152"/>
      <c r="Q119" s="152"/>
      <c r="S119" s="2">
        <v>2</v>
      </c>
      <c r="T119" s="2">
        <v>25</v>
      </c>
      <c r="U119" s="2">
        <f>IF(0&lt;$D119&lt;S119,1,0)</f>
        <v>0</v>
      </c>
      <c r="V119" s="2">
        <f t="shared" si="29"/>
        <v>0</v>
      </c>
      <c r="X119" s="2" t="str">
        <f t="shared" si="30"/>
        <v/>
      </c>
      <c r="Y119" s="2" t="s">
        <v>580</v>
      </c>
      <c r="Z119" s="2" t="s">
        <v>581</v>
      </c>
    </row>
    <row r="120" spans="1:26" ht="12.95" customHeight="1" x14ac:dyDescent="0.2">
      <c r="A120" s="221" t="s">
        <v>395</v>
      </c>
      <c r="C120" s="43" t="s">
        <v>337</v>
      </c>
      <c r="D120" s="258"/>
      <c r="O120" s="152"/>
      <c r="Q120" s="152"/>
      <c r="S120" s="2">
        <f>Eing_Beginnjahr</f>
        <v>2024</v>
      </c>
      <c r="T120" s="2">
        <f>S120+10</f>
        <v>2034</v>
      </c>
      <c r="U120" s="2">
        <f>IF($D120&lt;S120,Eing_jährlicher_Förderbeitrag_2,0)</f>
        <v>0</v>
      </c>
      <c r="V120" s="2">
        <f t="shared" si="29"/>
        <v>0</v>
      </c>
      <c r="X120" s="2" t="str">
        <f t="shared" si="30"/>
        <v/>
      </c>
      <c r="Y120" s="2" t="s">
        <v>582</v>
      </c>
      <c r="Z120" s="2" t="s">
        <v>583</v>
      </c>
    </row>
    <row r="121" spans="1:26" ht="12.95" customHeight="1" x14ac:dyDescent="0.2">
      <c r="A121" s="212"/>
      <c r="C121" s="43"/>
      <c r="S121" s="2"/>
      <c r="T121" s="2"/>
      <c r="U121" s="2"/>
    </row>
    <row r="122" spans="1:26" ht="12.95" customHeight="1" x14ac:dyDescent="0.2">
      <c r="A122" s="221">
        <v>170</v>
      </c>
      <c r="B122" s="5" t="s">
        <v>152</v>
      </c>
      <c r="C122" s="64"/>
      <c r="S122" s="2"/>
      <c r="T122" s="2"/>
      <c r="U122" s="2"/>
    </row>
    <row r="123" spans="1:26" ht="12.95" customHeight="1" x14ac:dyDescent="0.2">
      <c r="A123" s="221" t="s">
        <v>62</v>
      </c>
      <c r="C123" s="45" t="s">
        <v>372</v>
      </c>
      <c r="D123" s="6">
        <f>AVERAGE(B1_Berechnungen!C44:C68)</f>
        <v>14338.442114887732</v>
      </c>
      <c r="E123" s="1" t="s">
        <v>13</v>
      </c>
      <c r="O123" s="152"/>
      <c r="Q123" s="152"/>
      <c r="S123" s="2"/>
      <c r="T123" s="2"/>
      <c r="U123" s="2"/>
    </row>
    <row r="124" spans="1:26" ht="12.95" customHeight="1" x14ac:dyDescent="0.2">
      <c r="A124" s="221" t="s">
        <v>394</v>
      </c>
      <c r="C124" s="45" t="s">
        <v>341</v>
      </c>
      <c r="D124" s="6">
        <f>mittl_Erzeugte_Wärmemenge*Eing_Anteil_Biomasse/100</f>
        <v>8603.0652689326398</v>
      </c>
      <c r="E124" s="1" t="s">
        <v>13</v>
      </c>
      <c r="O124" s="152"/>
      <c r="Q124" s="152"/>
      <c r="S124" s="2"/>
      <c r="T124" s="2"/>
      <c r="U124" s="2"/>
    </row>
    <row r="125" spans="1:26" s="191" customFormat="1" ht="12.95" customHeight="1" x14ac:dyDescent="0.2">
      <c r="A125" s="221" t="s">
        <v>395</v>
      </c>
      <c r="C125" s="45" t="s">
        <v>387</v>
      </c>
      <c r="D125" s="6">
        <f>IF(Eing_Anteil_Kondensation=0,0,mittl_Erzeugte_Wärmemenge*(Eing_Anteil_Kondensation/100))</f>
        <v>0</v>
      </c>
      <c r="E125" s="1" t="s">
        <v>13</v>
      </c>
      <c r="O125" s="193"/>
      <c r="Q125" s="193"/>
    </row>
    <row r="126" spans="1:26" s="191" customFormat="1" ht="12.95" customHeight="1" x14ac:dyDescent="0.2">
      <c r="A126" s="221" t="s">
        <v>396</v>
      </c>
      <c r="C126" s="45" t="s">
        <v>386</v>
      </c>
      <c r="D126" s="6">
        <f>IF(Eing_Anteil_WKK=0,0,mittl_Erzeugte_Wärmemenge*(Eing_Anteil_WKK/100)/(Eing_Jahresnutzungsgrad_WKKtherm/100))</f>
        <v>10753.831586165797</v>
      </c>
      <c r="E126" s="1" t="s">
        <v>13</v>
      </c>
      <c r="O126" s="193"/>
      <c r="Q126" s="193"/>
    </row>
    <row r="127" spans="1:26" s="191" customFormat="1" ht="12.95" customHeight="1" x14ac:dyDescent="0.2">
      <c r="A127" s="221" t="s">
        <v>397</v>
      </c>
      <c r="C127" s="45" t="s">
        <v>342</v>
      </c>
      <c r="D127" s="6">
        <f>IF(Eing_Anteil_WP=0,0,mittl_Erzeugte_Wärmemenge*Eing_Anteil_WP/100)</f>
        <v>0</v>
      </c>
      <c r="E127" s="1" t="s">
        <v>13</v>
      </c>
      <c r="O127" s="193"/>
      <c r="Q127" s="193"/>
    </row>
    <row r="128" spans="1:26" s="191" customFormat="1" ht="12.95" customHeight="1" x14ac:dyDescent="0.2">
      <c r="A128" s="221" t="s">
        <v>405</v>
      </c>
      <c r="C128" s="45" t="s">
        <v>392</v>
      </c>
      <c r="D128" s="6" cm="1">
        <f t="array" ref="D128">IF(Eing_Anteil_Zusatz=0,0,mittl_Erzeugte_Wärmemenge*(Eing_Anteil_Zusatz/100)/(Eing_Jahresnutzungsgrad_Zusatz/100))</f>
        <v>0</v>
      </c>
      <c r="E128" s="1" t="s">
        <v>13</v>
      </c>
      <c r="O128" s="193"/>
      <c r="Q128" s="193"/>
    </row>
    <row r="129" spans="1:17" s="191" customFormat="1" ht="12.95" customHeight="1" x14ac:dyDescent="0.2">
      <c r="A129" s="221" t="s">
        <v>403</v>
      </c>
      <c r="C129" s="45" t="s">
        <v>343</v>
      </c>
      <c r="D129" s="6">
        <f>IF(Eing_Anteil_AWN=0,0,mittl_Erzeugte_Wärmemenge*Eing_Anteil_AWN/100)</f>
        <v>0</v>
      </c>
      <c r="E129" s="1" t="s">
        <v>13</v>
      </c>
      <c r="O129" s="193"/>
      <c r="Q129" s="193"/>
    </row>
    <row r="130" spans="1:17" ht="12.95" customHeight="1" x14ac:dyDescent="0.2">
      <c r="A130" s="221" t="s">
        <v>404</v>
      </c>
      <c r="C130" s="45" t="s">
        <v>391</v>
      </c>
      <c r="D130" s="6">
        <f>IF(Eing_Jahresnutzungsgrad_Kessel=0,0,mittl_Erzeugte_Wärmemenge*(Anteil_fossil_erzeugt/100)/Eing_Jahresnutzungsgrad_Kessel*100)</f>
        <v>1686.8755429279684</v>
      </c>
      <c r="E130" s="1" t="s">
        <v>13</v>
      </c>
      <c r="O130" s="152"/>
      <c r="Q130" s="152"/>
    </row>
    <row r="131" spans="1:17" ht="12.95" customHeight="1" x14ac:dyDescent="0.2">
      <c r="A131" s="221" t="s">
        <v>406</v>
      </c>
      <c r="B131" s="191"/>
      <c r="C131" s="45" t="s">
        <v>344</v>
      </c>
      <c r="D131" s="6">
        <f>IF(Eing_Anteil_WKK=0,0,Wärme_WKK*Eing_Jahresnutzungsgrad_WKKel/100)</f>
        <v>3064.8420020572521</v>
      </c>
      <c r="E131" s="1" t="s">
        <v>13</v>
      </c>
      <c r="O131" s="152"/>
      <c r="Q131" s="152"/>
    </row>
    <row r="132" spans="1:17" ht="12.95" customHeight="1" x14ac:dyDescent="0.2">
      <c r="A132" s="221" t="s">
        <v>407</v>
      </c>
      <c r="B132" s="191"/>
      <c r="C132" s="45" t="s">
        <v>860</v>
      </c>
      <c r="D132" s="6">
        <f>IF(Eing_AnteilEigen_WP=0,0,MIN(Stromproduktion_WKK,(Eing_AnteilEigen_WP/100)*(mittl_Erzeugte_Wärmemenge*(Eing_Anteil_WP/100)/Eing_JAZ_WP)))</f>
        <v>0</v>
      </c>
      <c r="E132" s="1" t="s">
        <v>13</v>
      </c>
      <c r="O132" s="152"/>
      <c r="Q132" s="152"/>
    </row>
    <row r="133" spans="1:17" ht="12.95" customHeight="1" x14ac:dyDescent="0.2">
      <c r="A133" s="221" t="s">
        <v>407</v>
      </c>
      <c r="B133" s="191"/>
      <c r="C133" s="45" t="s">
        <v>861</v>
      </c>
      <c r="D133" s="6">
        <f>IF(Eing_AnteilEigen_Hilfsenergie=0,0,MIN(Stromproduktion_WKK-D132,(Eing_AnteilEigen_Hilfsenergie/100)*(mittl_Erzeugte_Wärmemenge*Eing_Spez_Stromverbrauch/100)))</f>
        <v>229.41507383820374</v>
      </c>
      <c r="E133" s="1" t="s">
        <v>13</v>
      </c>
      <c r="O133" s="152"/>
      <c r="Q133" s="152"/>
    </row>
    <row r="134" spans="1:17" s="191" customFormat="1" ht="12.95" customHeight="1" x14ac:dyDescent="0.2">
      <c r="A134" s="221" t="s">
        <v>408</v>
      </c>
      <c r="C134" s="45" t="s">
        <v>345</v>
      </c>
      <c r="D134" s="6">
        <f>IF(Eing_Anteil_WP=0,0,(mittl_Erzeugte_Wärmemenge*(Eing_Anteil_WP/100)/Eing_JAZ_WP)-D132)</f>
        <v>0</v>
      </c>
      <c r="E134" s="1" t="s">
        <v>13</v>
      </c>
      <c r="O134" s="193"/>
      <c r="Q134" s="193"/>
    </row>
    <row r="135" spans="1:17" ht="12.95" customHeight="1" x14ac:dyDescent="0.2">
      <c r="A135" s="221" t="s">
        <v>409</v>
      </c>
      <c r="C135" s="45" t="s">
        <v>346</v>
      </c>
      <c r="D135" s="6">
        <f>(mittl_Erzeugte_Wärmemenge*Eing_Spez_Stromverbrauch/100)-Eigenverbrauch_HE</f>
        <v>57.353768459550906</v>
      </c>
      <c r="E135" s="1" t="s">
        <v>13</v>
      </c>
      <c r="O135" s="152"/>
      <c r="Q135" s="152"/>
    </row>
    <row r="136" spans="1:17" ht="12.95" customHeight="1" x14ac:dyDescent="0.2">
      <c r="A136" s="221" t="s">
        <v>410</v>
      </c>
      <c r="B136" s="191"/>
      <c r="C136" s="45" t="s">
        <v>347</v>
      </c>
      <c r="D136" s="6">
        <f>IF(Eing_Anteil_WKK=0,0,Stromproduktion_WKK-SUM(Eigenverbrauch_HE,Eigenverbrauch_WP))</f>
        <v>2835.4269282190485</v>
      </c>
      <c r="E136" s="1" t="s">
        <v>13</v>
      </c>
      <c r="O136" s="152"/>
      <c r="Q136" s="152"/>
    </row>
    <row r="137" spans="1:17" ht="12.95" customHeight="1" x14ac:dyDescent="0.2">
      <c r="A137" s="221" t="s">
        <v>412</v>
      </c>
      <c r="B137" s="191"/>
      <c r="C137" s="45" t="s">
        <v>348</v>
      </c>
      <c r="D137" s="6">
        <f>Eing_Prod_Pflanzenkohle</f>
        <v>1200</v>
      </c>
      <c r="E137" s="1" t="str">
        <f>E41</f>
        <v>m³/a</v>
      </c>
      <c r="O137" s="152"/>
      <c r="Q137" s="152"/>
    </row>
    <row r="138" spans="1:17" ht="12.95" customHeight="1" x14ac:dyDescent="0.2">
      <c r="A138" s="213"/>
      <c r="B138" s="191"/>
      <c r="C138" s="192"/>
      <c r="D138" s="6"/>
      <c r="O138" s="152"/>
      <c r="Q138" s="152"/>
    </row>
    <row r="139" spans="1:17" ht="12.95" customHeight="1" x14ac:dyDescent="0.2">
      <c r="A139" s="221">
        <v>175</v>
      </c>
      <c r="B139" s="5" t="s">
        <v>126</v>
      </c>
      <c r="C139" s="192"/>
      <c r="D139" s="6"/>
    </row>
    <row r="140" spans="1:17" ht="12.95" customHeight="1" x14ac:dyDescent="0.2">
      <c r="A140" s="221" t="s">
        <v>62</v>
      </c>
      <c r="C140" s="45" t="s">
        <v>349</v>
      </c>
      <c r="D140" s="6">
        <f>Nutzwärme_Biomasse*Eing_Rohstoffpreis_Biomasse</f>
        <v>473168.58979129518</v>
      </c>
      <c r="E140" s="1" t="s">
        <v>40</v>
      </c>
      <c r="O140" s="152"/>
      <c r="Q140" s="152"/>
    </row>
    <row r="141" spans="1:17" s="191" customFormat="1" ht="12.95" customHeight="1" x14ac:dyDescent="0.2">
      <c r="A141" s="221" t="s">
        <v>394</v>
      </c>
      <c r="C141" s="45" t="s">
        <v>388</v>
      </c>
      <c r="D141" s="6">
        <f>Wärme_WKK*Eing_Brennstoffpreis_WKK</f>
        <v>591460.7372391189</v>
      </c>
      <c r="E141" s="1" t="s">
        <v>40</v>
      </c>
      <c r="O141" s="193"/>
      <c r="Q141" s="193"/>
    </row>
    <row r="142" spans="1:17" s="191" customFormat="1" ht="12.95" customHeight="1" x14ac:dyDescent="0.2">
      <c r="A142" s="221" t="s">
        <v>395</v>
      </c>
      <c r="C142" s="45" t="s">
        <v>389</v>
      </c>
      <c r="D142" s="6" cm="1">
        <f t="array" ref="D142">Eing_Preis_Zusatz*Endenergie_Zusatz</f>
        <v>0</v>
      </c>
      <c r="E142" s="1" t="s">
        <v>40</v>
      </c>
      <c r="O142" s="193"/>
      <c r="Q142" s="193"/>
    </row>
    <row r="143" spans="1:17" s="191" customFormat="1" ht="12.95" customHeight="1" x14ac:dyDescent="0.2">
      <c r="A143" s="221" t="s">
        <v>396</v>
      </c>
      <c r="C143" s="45" t="s">
        <v>350</v>
      </c>
      <c r="D143" s="6">
        <f>Eing_Preis_AWN*Nutzwärme_AWN</f>
        <v>0</v>
      </c>
      <c r="E143" s="1" t="s">
        <v>40</v>
      </c>
      <c r="O143" s="193"/>
      <c r="Q143" s="193"/>
    </row>
    <row r="144" spans="1:17" ht="12.95" customHeight="1" x14ac:dyDescent="0.2">
      <c r="A144" s="221" t="s">
        <v>397</v>
      </c>
      <c r="C144" s="45" t="s">
        <v>360</v>
      </c>
      <c r="D144" s="6" cm="1">
        <f t="array" ref="D144">Endenergie_fossil*Eing_Rohstoffpreis_fossil</f>
        <v>202425.06515135619</v>
      </c>
      <c r="E144" s="1" t="s">
        <v>40</v>
      </c>
      <c r="O144" s="152"/>
      <c r="Q144" s="152"/>
    </row>
    <row r="145" spans="1:17" s="191" customFormat="1" ht="12.95" customHeight="1" x14ac:dyDescent="0.2">
      <c r="A145" s="221" t="s">
        <v>405</v>
      </c>
      <c r="C145" s="45" t="s">
        <v>351</v>
      </c>
      <c r="D145" s="6">
        <f>Netzbezug_WP*Eing_Strompreis_WP*10</f>
        <v>0</v>
      </c>
      <c r="E145" s="1" t="s">
        <v>40</v>
      </c>
      <c r="O145" s="193"/>
      <c r="Q145" s="193"/>
    </row>
    <row r="146" spans="1:17" ht="12.95" customHeight="1" x14ac:dyDescent="0.2">
      <c r="A146" s="214" t="s">
        <v>404</v>
      </c>
      <c r="C146" s="45" t="s">
        <v>354</v>
      </c>
      <c r="D146" s="6">
        <f>Netzbezug_Hilfsenergie*Eing_Strompreis*10</f>
        <v>14338.442114887726</v>
      </c>
      <c r="E146" s="1" t="s">
        <v>40</v>
      </c>
      <c r="O146" s="152"/>
      <c r="Q146" s="152"/>
    </row>
    <row r="147" spans="1:17" ht="12.95" customHeight="1" x14ac:dyDescent="0.2">
      <c r="A147" s="221">
        <v>177</v>
      </c>
      <c r="B147" s="5" t="s">
        <v>100</v>
      </c>
      <c r="C147" s="45"/>
      <c r="D147" s="6"/>
    </row>
    <row r="148" spans="1:17" s="191" customFormat="1" ht="12.95" customHeight="1" x14ac:dyDescent="0.2">
      <c r="A148" s="221" t="s">
        <v>62</v>
      </c>
      <c r="C148" s="45" t="s">
        <v>352</v>
      </c>
      <c r="D148" s="6">
        <f>Stromeinspeisung_Netz*Eing_Strompreis_Einspeisung*10</f>
        <v>510376.84707942873</v>
      </c>
      <c r="E148" s="1" t="s">
        <v>40</v>
      </c>
      <c r="O148" s="193"/>
      <c r="Q148" s="193"/>
    </row>
    <row r="149" spans="1:17" s="191" customFormat="1" ht="12.95" customHeight="1" x14ac:dyDescent="0.2">
      <c r="A149" s="221" t="s">
        <v>394</v>
      </c>
      <c r="C149" s="45" t="s">
        <v>353</v>
      </c>
      <c r="D149" s="6">
        <f>Produktion_Pflanzenkohle*Eing_Verkaufspreis_Pflanzenkohle</f>
        <v>480000</v>
      </c>
      <c r="E149" s="1" t="s">
        <v>40</v>
      </c>
      <c r="O149" s="193"/>
      <c r="Q149" s="193"/>
    </row>
    <row r="150" spans="1:17" ht="12.95" customHeight="1" x14ac:dyDescent="0.2">
      <c r="A150" s="212"/>
      <c r="C150" s="45"/>
      <c r="D150" s="263"/>
    </row>
    <row r="151" spans="1:17" ht="12.95" customHeight="1" x14ac:dyDescent="0.2">
      <c r="A151" s="221" t="s">
        <v>653</v>
      </c>
      <c r="C151" s="43" t="s">
        <v>25</v>
      </c>
      <c r="D151" s="6">
        <f>Gesamtinvestition</f>
        <v>38650000</v>
      </c>
      <c r="E151" s="1" t="s">
        <v>39</v>
      </c>
      <c r="O151" s="152"/>
      <c r="Q151" s="152"/>
    </row>
    <row r="152" spans="1:17" ht="12.95" customHeight="1" x14ac:dyDescent="0.2">
      <c r="A152" s="221">
        <v>179</v>
      </c>
      <c r="C152" s="45" t="s">
        <v>222</v>
      </c>
      <c r="D152" s="6">
        <f>SUM(Einmaliger_Förderbeitrag_1,Einmaliger_Förderbeitrag_2,Einmaliger_Förderbeitrag_3,(Eing_jährlicher_Förderbeitrag_1*Eing_Förderung_wiederholend_Laufzeit_1),(Eing_jährlicher_Förderbeitrag_2*Eing_Förderung_wiederholend_Laufzeit_2))</f>
        <v>3000000</v>
      </c>
      <c r="E152" s="1" t="s">
        <v>39</v>
      </c>
      <c r="O152" s="152"/>
      <c r="Q152" s="152"/>
    </row>
    <row r="153" spans="1:17" ht="12.95" customHeight="1" x14ac:dyDescent="0.2"/>
    <row r="154" spans="1:17" ht="12.95" customHeight="1" x14ac:dyDescent="0.2">
      <c r="A154" s="214">
        <v>190</v>
      </c>
      <c r="B154" s="5" t="s">
        <v>268</v>
      </c>
      <c r="D154" s="167" t="s">
        <v>258</v>
      </c>
      <c r="F154" s="65" t="s">
        <v>264</v>
      </c>
    </row>
    <row r="155" spans="1:17" x14ac:dyDescent="0.2">
      <c r="A155" s="214" t="s">
        <v>62</v>
      </c>
      <c r="B155" s="1" t="s">
        <v>266</v>
      </c>
      <c r="C155" s="45" t="s">
        <v>269</v>
      </c>
      <c r="D155" s="6">
        <f>IF(SUM(AH68:AH76)=0,0,ROUND(SUM(AH68:AH76,0.5*AH80),0))</f>
        <v>844950</v>
      </c>
      <c r="E155" s="1" t="s">
        <v>40</v>
      </c>
      <c r="F155" s="244">
        <f t="shared" ref="F155:F163" si="31">IF(mittl_Erzeugte_Wärmemenge=0,0,ROUND(D155/mittl_Erzeugte_Wärmemenge/10,2))</f>
        <v>5.89</v>
      </c>
      <c r="G155" s="1" t="s">
        <v>265</v>
      </c>
      <c r="O155" s="152"/>
      <c r="Q155" s="152"/>
    </row>
    <row r="156" spans="1:17" x14ac:dyDescent="0.2">
      <c r="A156" s="214" t="s">
        <v>394</v>
      </c>
      <c r="C156" s="45" t="s">
        <v>270</v>
      </c>
      <c r="D156" s="6">
        <f>IF(SUM(AH77:AH79)=0,0,ROUND(SUM(AH77:AH79,0.5*AH80),0))</f>
        <v>825456</v>
      </c>
      <c r="E156" s="1" t="s">
        <v>40</v>
      </c>
      <c r="F156" s="244">
        <f t="shared" si="31"/>
        <v>5.76</v>
      </c>
      <c r="G156" s="1" t="s">
        <v>265</v>
      </c>
      <c r="O156" s="152"/>
      <c r="Q156" s="152"/>
    </row>
    <row r="157" spans="1:17" x14ac:dyDescent="0.2">
      <c r="A157" s="214" t="s">
        <v>395</v>
      </c>
      <c r="C157" s="45" t="s">
        <v>271</v>
      </c>
      <c r="D157" s="6">
        <f>SUM(D55:D57,D59:D60)-D158</f>
        <v>483686.23024830699</v>
      </c>
      <c r="E157" s="1" t="s">
        <v>40</v>
      </c>
      <c r="F157" s="244">
        <f t="shared" si="31"/>
        <v>3.37</v>
      </c>
      <c r="G157" s="1" t="s">
        <v>265</v>
      </c>
      <c r="O157" s="152"/>
      <c r="Q157" s="152"/>
    </row>
    <row r="158" spans="1:17" x14ac:dyDescent="0.2">
      <c r="A158" s="214" t="s">
        <v>396</v>
      </c>
      <c r="C158" s="45" t="s">
        <v>272</v>
      </c>
      <c r="D158" s="6">
        <f>IF(Eing_Unterhaltskosten=0,0,
(SUMPRODUCT(D77:D79,F77:F79)+0.5*Eing_Kosten_Planung_QM*F80)/SUMPRODUCT(D68:D80,F68:F80)*SUM(D55:D57,D59:D60))</f>
        <v>428113.76975169301</v>
      </c>
      <c r="E158" s="1" t="s">
        <v>40</v>
      </c>
      <c r="F158" s="244">
        <f t="shared" si="31"/>
        <v>2.99</v>
      </c>
      <c r="G158" s="1" t="s">
        <v>265</v>
      </c>
      <c r="O158" s="152"/>
      <c r="Q158" s="152"/>
    </row>
    <row r="159" spans="1:17" x14ac:dyDescent="0.2">
      <c r="A159" s="214" t="s">
        <v>397</v>
      </c>
      <c r="C159" s="45" t="s">
        <v>126</v>
      </c>
      <c r="D159" s="6">
        <f>SUM(D140:D146)</f>
        <v>1281392.8342966579</v>
      </c>
      <c r="E159" s="1" t="s">
        <v>40</v>
      </c>
      <c r="F159" s="244">
        <f t="shared" si="31"/>
        <v>8.94</v>
      </c>
      <c r="G159" s="1" t="s">
        <v>265</v>
      </c>
      <c r="O159" s="152"/>
      <c r="Q159" s="152"/>
    </row>
    <row r="160" spans="1:17" x14ac:dyDescent="0.2">
      <c r="A160" s="221" t="s">
        <v>405</v>
      </c>
      <c r="C160" s="45" t="s">
        <v>355</v>
      </c>
      <c r="D160" s="6">
        <f>-SUM(D148:D149)</f>
        <v>-990376.84707942873</v>
      </c>
      <c r="E160" s="1" t="s">
        <v>40</v>
      </c>
      <c r="F160" s="244">
        <f t="shared" si="31"/>
        <v>-6.91</v>
      </c>
      <c r="G160" s="1" t="s">
        <v>265</v>
      </c>
      <c r="O160" s="152"/>
      <c r="Q160" s="152"/>
    </row>
    <row r="161" spans="1:17" x14ac:dyDescent="0.2">
      <c r="A161" s="214" t="s">
        <v>403</v>
      </c>
      <c r="C161" s="63" t="s">
        <v>258</v>
      </c>
      <c r="D161" s="56">
        <f>SUM(D155:D160)</f>
        <v>2873221.9872172289</v>
      </c>
      <c r="E161" s="5" t="s">
        <v>40</v>
      </c>
      <c r="F161" s="8">
        <f t="shared" si="31"/>
        <v>20.04</v>
      </c>
      <c r="G161" s="5" t="s">
        <v>265</v>
      </c>
      <c r="O161" s="152"/>
      <c r="Q161" s="152"/>
    </row>
    <row r="162" spans="1:17" x14ac:dyDescent="0.2">
      <c r="A162" s="214" t="s">
        <v>404</v>
      </c>
      <c r="C162" s="45" t="s">
        <v>306</v>
      </c>
      <c r="D162" s="6">
        <f>ROUND(PMT(Eing_Realzins/100,25,Gesamtsumme_Förderung),0)</f>
        <v>-153661</v>
      </c>
      <c r="E162" s="1" t="s">
        <v>40</v>
      </c>
      <c r="F162" s="244">
        <f t="shared" si="31"/>
        <v>-1.07</v>
      </c>
      <c r="G162" s="1" t="s">
        <v>265</v>
      </c>
    </row>
    <row r="163" spans="1:17" x14ac:dyDescent="0.2">
      <c r="A163" s="214" t="s">
        <v>406</v>
      </c>
      <c r="C163" s="63" t="s">
        <v>307</v>
      </c>
      <c r="D163" s="56">
        <f>SUM(D161:D162)</f>
        <v>2719560.9872172289</v>
      </c>
      <c r="E163" s="5" t="s">
        <v>40</v>
      </c>
      <c r="F163" s="8">
        <f t="shared" si="31"/>
        <v>18.97</v>
      </c>
      <c r="G163" s="5" t="s">
        <v>265</v>
      </c>
      <c r="H163" s="5"/>
    </row>
    <row r="164" spans="1:17" x14ac:dyDescent="0.2"/>
  </sheetData>
  <sheetProtection algorithmName="SHA-512" hashValue="5BluOh0mEM39l3DNe/cUchUwIg365MWinV6WHa8p+lW+dg8YAGvq6SbVlEOjFDyCKS7cgid92PLVNjb7r6Hcnw==" saltValue="fNWSqn4jsHK3vbTYaT29zA==" spinCount="100000" sheet="1" objects="1" scenarios="1"/>
  <phoneticPr fontId="10" type="noConversion"/>
  <conditionalFormatting sqref="D19">
    <cfRule type="cellIs" dxfId="23" priority="14" operator="notEqual">
      <formula>$K19</formula>
    </cfRule>
  </conditionalFormatting>
  <conditionalFormatting sqref="D23">
    <cfRule type="cellIs" dxfId="22" priority="13" operator="notEqual">
      <formula>$K23</formula>
    </cfRule>
  </conditionalFormatting>
  <conditionalFormatting sqref="D39">
    <cfRule type="cellIs" dxfId="21" priority="12" operator="notEqual">
      <formula>$K39</formula>
    </cfRule>
  </conditionalFormatting>
  <conditionalFormatting sqref="D49">
    <cfRule type="cellIs" dxfId="20" priority="11" operator="notEqual">
      <formula>$K49</formula>
    </cfRule>
  </conditionalFormatting>
  <conditionalFormatting sqref="D55">
    <cfRule type="cellIs" dxfId="19" priority="10" operator="notEqual">
      <formula>$K55</formula>
    </cfRule>
  </conditionalFormatting>
  <conditionalFormatting sqref="D57">
    <cfRule type="cellIs" dxfId="18" priority="9" operator="notEqual">
      <formula>$K57</formula>
    </cfRule>
  </conditionalFormatting>
  <conditionalFormatting sqref="D60">
    <cfRule type="cellIs" dxfId="17" priority="8" operator="notEqual">
      <formula>$K60</formula>
    </cfRule>
  </conditionalFormatting>
  <conditionalFormatting sqref="D63">
    <cfRule type="cellIs" dxfId="16" priority="7" operator="notEqual">
      <formula>$K63</formula>
    </cfRule>
  </conditionalFormatting>
  <conditionalFormatting sqref="D84:D87">
    <cfRule type="cellIs" dxfId="15" priority="5" operator="notEqual">
      <formula>$K84</formula>
    </cfRule>
  </conditionalFormatting>
  <conditionalFormatting sqref="D90">
    <cfRule type="cellIs" dxfId="14" priority="1" operator="notEqual">
      <formula>$K90</formula>
    </cfRule>
  </conditionalFormatting>
  <conditionalFormatting sqref="D96">
    <cfRule type="cellIs" dxfId="13" priority="3" operator="notEqual">
      <formula>$K96</formula>
    </cfRule>
  </conditionalFormatting>
  <conditionalFormatting sqref="D103">
    <cfRule type="cellIs" dxfId="12" priority="2" operator="notEqual">
      <formula>$K103</formula>
    </cfRule>
  </conditionalFormatting>
  <conditionalFormatting sqref="F68:F80">
    <cfRule type="cellIs" dxfId="11" priority="6" operator="notEqual">
      <formula>$K68</formula>
    </cfRule>
  </conditionalFormatting>
  <conditionalFormatting sqref="I68:I80">
    <cfRule type="cellIs" dxfId="10"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7FD07468-7C79-4F9C-9DD2-CA2D3EE2E829}">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61"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45"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211">
        <v>200</v>
      </c>
      <c r="B1" s="180" t="s">
        <v>166</v>
      </c>
    </row>
    <row r="2" spans="1:11" ht="12.95" customHeight="1" x14ac:dyDescent="0.2">
      <c r="B2" s="5"/>
    </row>
    <row r="3" spans="1:11" ht="12.95" customHeight="1" x14ac:dyDescent="0.2">
      <c r="A3" s="221" t="s">
        <v>398</v>
      </c>
      <c r="D3" s="42" t="s">
        <v>4</v>
      </c>
    </row>
    <row r="4" spans="1:11" ht="12.95" customHeight="1" x14ac:dyDescent="0.2">
      <c r="A4" s="221" t="s">
        <v>414</v>
      </c>
      <c r="B4" s="1" t="s">
        <v>68</v>
      </c>
    </row>
    <row r="5" spans="1:11" s="5" customFormat="1" ht="12.95" customHeight="1" x14ac:dyDescent="0.2">
      <c r="A5" s="45"/>
      <c r="E5" s="8"/>
      <c r="H5" s="145"/>
      <c r="I5" s="1"/>
      <c r="J5" s="2"/>
      <c r="K5" s="1"/>
    </row>
    <row r="6" spans="1:11" ht="12.95" customHeight="1" x14ac:dyDescent="0.2">
      <c r="A6" s="221">
        <v>206</v>
      </c>
      <c r="B6" s="5" t="s">
        <v>43</v>
      </c>
      <c r="D6" s="347" t="str">
        <f>IF(E1_Projektdaten!C8=0,"",E1_Projektdaten!C8)</f>
        <v>QMH Beispielprojekt 3</v>
      </c>
      <c r="E6" s="347"/>
      <c r="F6" s="347"/>
      <c r="G6" s="347"/>
      <c r="H6" s="347"/>
      <c r="I6" s="347"/>
    </row>
    <row r="7" spans="1:11" ht="12.95" customHeight="1" x14ac:dyDescent="0.2">
      <c r="B7" s="5"/>
      <c r="D7" s="347" t="str">
        <f>IF(E1_Projektdaten!C9=0,"",E1_Projektdaten!C9)</f>
        <v>Wärmeverbund Holz-WKK</v>
      </c>
      <c r="E7" s="347"/>
      <c r="F7" s="347"/>
      <c r="G7" s="347"/>
      <c r="H7" s="347"/>
      <c r="I7" s="347"/>
    </row>
    <row r="8" spans="1:11" ht="12.95" customHeight="1" x14ac:dyDescent="0.2">
      <c r="B8" s="5"/>
      <c r="D8" s="347" t="str">
        <f>IF(E1_Projektdaten!C10=0,"",E1_Projektdaten!C10)</f>
        <v/>
      </c>
      <c r="E8" s="347"/>
      <c r="F8" s="347"/>
      <c r="G8" s="347"/>
      <c r="H8" s="347"/>
      <c r="I8" s="347"/>
    </row>
    <row r="9" spans="1:11" ht="12.95" customHeight="1" x14ac:dyDescent="0.2">
      <c r="B9" s="5"/>
    </row>
    <row r="10" spans="1:11" s="5" customFormat="1" ht="12.95" customHeight="1" x14ac:dyDescent="0.2">
      <c r="A10" s="222">
        <v>207</v>
      </c>
      <c r="B10" s="118" t="s">
        <v>44</v>
      </c>
      <c r="C10" s="115"/>
      <c r="D10" s="348" t="str">
        <f>IF(E1_Projektdaten!C12=0,"",E1_Projektdaten!C12)</f>
        <v>Datum, Erfasser:in</v>
      </c>
      <c r="E10" s="348"/>
      <c r="F10" s="348"/>
      <c r="G10" s="348"/>
      <c r="H10" s="348"/>
      <c r="I10" s="348"/>
      <c r="J10" s="2"/>
      <c r="K10" s="1"/>
    </row>
    <row r="11" spans="1:11" s="5" customFormat="1" ht="12.95" customHeight="1" x14ac:dyDescent="0.2">
      <c r="A11" s="45"/>
      <c r="E11" s="8"/>
      <c r="H11" s="145"/>
      <c r="I11" s="1"/>
      <c r="J11" s="2"/>
      <c r="K11" s="1"/>
    </row>
    <row r="12" spans="1:11" ht="12.95" customHeight="1" x14ac:dyDescent="0.2">
      <c r="A12" s="221">
        <v>210</v>
      </c>
      <c r="B12" s="5" t="s">
        <v>107</v>
      </c>
      <c r="K12" s="5" t="s">
        <v>189</v>
      </c>
    </row>
    <row r="13" spans="1:11" ht="12.95" customHeight="1" thickBot="1" x14ac:dyDescent="0.25"/>
    <row r="14" spans="1:11" ht="12.95" customHeight="1" x14ac:dyDescent="0.2">
      <c r="A14" s="221">
        <v>211</v>
      </c>
      <c r="B14" s="146" t="s">
        <v>56</v>
      </c>
      <c r="C14" s="147"/>
      <c r="D14" s="148" t="s">
        <v>949</v>
      </c>
      <c r="E14" s="149"/>
      <c r="F14" s="147"/>
      <c r="G14" s="150" cm="1">
        <f t="array" ref="G14">SUMPRODUCT(E3_Verbraucher!$D$18:$XFD$18*(E3_Verbraucher!$D$22:$XFD$22="T 1: "&amp;Eing_Abnehmerart1))/max_verkaufteWM*100</f>
        <v>30.737587842084213</v>
      </c>
      <c r="H14" s="147" t="s">
        <v>7</v>
      </c>
      <c r="I14" s="151"/>
      <c r="K14" s="152"/>
    </row>
    <row r="15" spans="1:11" ht="12.95" customHeight="1" x14ac:dyDescent="0.2">
      <c r="A15" s="221" t="s">
        <v>62</v>
      </c>
      <c r="B15" s="153"/>
      <c r="F15" s="45" t="s">
        <v>231</v>
      </c>
      <c r="G15" s="257">
        <v>250</v>
      </c>
      <c r="H15" s="1" t="s">
        <v>232</v>
      </c>
      <c r="I15" s="154"/>
      <c r="K15" s="152"/>
    </row>
    <row r="16" spans="1:11" ht="12.95" customHeight="1" x14ac:dyDescent="0.2">
      <c r="A16" s="221" t="s">
        <v>394</v>
      </c>
      <c r="B16" s="153"/>
      <c r="F16" s="45" t="s">
        <v>8</v>
      </c>
      <c r="G16" s="257">
        <v>0.1</v>
      </c>
      <c r="H16" s="1" t="s">
        <v>42</v>
      </c>
      <c r="I16" s="154"/>
      <c r="K16" s="152"/>
    </row>
    <row r="17" spans="1:11" ht="12.95" customHeight="1" x14ac:dyDescent="0.2">
      <c r="A17" s="221" t="s">
        <v>395</v>
      </c>
      <c r="B17" s="153"/>
      <c r="F17" s="45" t="s">
        <v>230</v>
      </c>
      <c r="G17" s="258">
        <v>20</v>
      </c>
      <c r="H17" s="1" t="s">
        <v>18</v>
      </c>
      <c r="I17" s="154"/>
      <c r="K17" s="152"/>
    </row>
    <row r="18" spans="1:11" ht="12.95" customHeight="1" thickBot="1" x14ac:dyDescent="0.25">
      <c r="B18" s="155"/>
      <c r="C18" s="156"/>
      <c r="D18" s="156"/>
      <c r="E18" s="156"/>
      <c r="F18" s="156"/>
      <c r="G18" s="156"/>
      <c r="H18" s="156"/>
      <c r="I18" s="157"/>
    </row>
    <row r="19" spans="1:11" ht="12.95" customHeight="1" thickBot="1" x14ac:dyDescent="0.25"/>
    <row r="20" spans="1:11" ht="12.95" customHeight="1" x14ac:dyDescent="0.2">
      <c r="A20" s="221">
        <v>212</v>
      </c>
      <c r="B20" s="146" t="s">
        <v>57</v>
      </c>
      <c r="C20" s="147"/>
      <c r="D20" s="148" t="s">
        <v>950</v>
      </c>
      <c r="E20" s="149"/>
      <c r="F20" s="147"/>
      <c r="G20" s="158">
        <f>SUMPRODUCT(E3_Verbraucher!$D$18:$XFD$18*(E3_Verbraucher!$D$22:$XFD$22="T 2: "&amp;Eing_Abnehmerart2))/max_verkaufteWM*100</f>
        <v>7.4158715648745934</v>
      </c>
      <c r="H20" s="147" t="s">
        <v>7</v>
      </c>
      <c r="I20" s="151"/>
      <c r="K20" s="152"/>
    </row>
    <row r="21" spans="1:11" ht="12.95" customHeight="1" x14ac:dyDescent="0.2">
      <c r="A21" s="221" t="s">
        <v>62</v>
      </c>
      <c r="B21" s="153"/>
      <c r="F21" s="45" t="s">
        <v>233</v>
      </c>
      <c r="G21" s="257">
        <v>230</v>
      </c>
      <c r="H21" s="1" t="s">
        <v>232</v>
      </c>
      <c r="I21" s="154"/>
      <c r="K21" s="152"/>
    </row>
    <row r="22" spans="1:11" ht="12.95" customHeight="1" x14ac:dyDescent="0.2">
      <c r="A22" s="221" t="s">
        <v>394</v>
      </c>
      <c r="B22" s="153"/>
      <c r="F22" s="45" t="s">
        <v>8</v>
      </c>
      <c r="G22" s="257">
        <v>0.1</v>
      </c>
      <c r="H22" s="1" t="s">
        <v>42</v>
      </c>
      <c r="I22" s="154"/>
      <c r="K22" s="152"/>
    </row>
    <row r="23" spans="1:11" ht="12.95" customHeight="1" x14ac:dyDescent="0.2">
      <c r="A23" s="221" t="s">
        <v>395</v>
      </c>
      <c r="B23" s="153"/>
      <c r="F23" s="45" t="s">
        <v>230</v>
      </c>
      <c r="G23" s="258">
        <v>20</v>
      </c>
      <c r="H23" s="1" t="s">
        <v>18</v>
      </c>
      <c r="I23" s="154"/>
      <c r="K23" s="152"/>
    </row>
    <row r="24" spans="1:11" ht="12.95" customHeight="1" thickBot="1" x14ac:dyDescent="0.25">
      <c r="B24" s="155"/>
      <c r="C24" s="156"/>
      <c r="D24" s="156"/>
      <c r="E24" s="156"/>
      <c r="F24" s="156"/>
      <c r="G24" s="156"/>
      <c r="H24" s="156"/>
      <c r="I24" s="157"/>
    </row>
    <row r="25" spans="1:11" ht="12.95" customHeight="1" thickBot="1" x14ac:dyDescent="0.25"/>
    <row r="26" spans="1:11" ht="12.95" customHeight="1" x14ac:dyDescent="0.2">
      <c r="A26" s="221">
        <v>213</v>
      </c>
      <c r="B26" s="146" t="s">
        <v>58</v>
      </c>
      <c r="C26" s="147"/>
      <c r="D26" s="148" t="s">
        <v>951</v>
      </c>
      <c r="E26" s="149"/>
      <c r="F26" s="147"/>
      <c r="G26" s="158">
        <f>SUMPRODUCT(E3_Verbraucher!$D$18:$XFD$18*(E3_Verbraucher!$D$22:$XFD$22="T 3: "&amp;Eing_Abnehmerart3))/max_verkaufteWM*100</f>
        <v>61.84654059304119</v>
      </c>
      <c r="H26" s="147" t="s">
        <v>7</v>
      </c>
      <c r="I26" s="151"/>
      <c r="K26" s="152"/>
    </row>
    <row r="27" spans="1:11" ht="12.95" customHeight="1" x14ac:dyDescent="0.2">
      <c r="A27" s="221" t="s">
        <v>62</v>
      </c>
      <c r="B27" s="153"/>
      <c r="F27" s="45" t="s">
        <v>233</v>
      </c>
      <c r="G27" s="257">
        <v>215</v>
      </c>
      <c r="H27" s="1" t="s">
        <v>232</v>
      </c>
      <c r="I27" s="154"/>
      <c r="K27" s="152"/>
    </row>
    <row r="28" spans="1:11" ht="12.95" customHeight="1" x14ac:dyDescent="0.2">
      <c r="A28" s="221" t="s">
        <v>394</v>
      </c>
      <c r="B28" s="153"/>
      <c r="F28" s="45" t="s">
        <v>8</v>
      </c>
      <c r="G28" s="257">
        <v>0.1</v>
      </c>
      <c r="H28" s="1" t="s">
        <v>42</v>
      </c>
      <c r="I28" s="154"/>
      <c r="K28" s="152"/>
    </row>
    <row r="29" spans="1:11" ht="12.95" customHeight="1" x14ac:dyDescent="0.2">
      <c r="A29" s="221" t="s">
        <v>395</v>
      </c>
      <c r="B29" s="153"/>
      <c r="F29" s="45" t="s">
        <v>230</v>
      </c>
      <c r="G29" s="258">
        <v>20</v>
      </c>
      <c r="H29" s="1" t="s">
        <v>18</v>
      </c>
      <c r="I29" s="154"/>
      <c r="K29" s="152"/>
    </row>
    <row r="30" spans="1:11" ht="12.95" customHeight="1" thickBot="1" x14ac:dyDescent="0.25">
      <c r="B30" s="155"/>
      <c r="C30" s="156"/>
      <c r="D30" s="156"/>
      <c r="E30" s="156"/>
      <c r="F30" s="156"/>
      <c r="G30" s="156"/>
      <c r="H30" s="156"/>
      <c r="I30" s="157"/>
    </row>
    <row r="31" spans="1:11" ht="12.95" customHeight="1" thickBot="1" x14ac:dyDescent="0.25"/>
    <row r="32" spans="1:11" ht="12.95" customHeight="1" x14ac:dyDescent="0.2">
      <c r="A32" s="221">
        <v>214</v>
      </c>
      <c r="B32" s="146" t="s">
        <v>61</v>
      </c>
      <c r="C32" s="147"/>
      <c r="D32" s="148" t="s">
        <v>952</v>
      </c>
      <c r="E32" s="149"/>
      <c r="F32" s="147"/>
      <c r="G32" s="158">
        <f>SUMPRODUCT(E3_Verbraucher!$D$18:$XFD$18*(E3_Verbraucher!$D$22:$XFD$22="T 4: "&amp;Eing_Abnehmerart4))/max_verkaufteWM*100</f>
        <v>0</v>
      </c>
      <c r="H32" s="147" t="s">
        <v>7</v>
      </c>
      <c r="I32" s="151"/>
      <c r="K32" s="152"/>
    </row>
    <row r="33" spans="1:11" ht="12.95" customHeight="1" x14ac:dyDescent="0.2">
      <c r="A33" s="221" t="s">
        <v>62</v>
      </c>
      <c r="B33" s="153"/>
      <c r="F33" s="45" t="s">
        <v>231</v>
      </c>
      <c r="G33" s="257">
        <v>200</v>
      </c>
      <c r="H33" s="1" t="s">
        <v>232</v>
      </c>
      <c r="I33" s="154"/>
      <c r="K33" s="152"/>
    </row>
    <row r="34" spans="1:11" ht="12.95" customHeight="1" x14ac:dyDescent="0.2">
      <c r="A34" s="221" t="s">
        <v>394</v>
      </c>
      <c r="B34" s="153"/>
      <c r="F34" s="45" t="s">
        <v>8</v>
      </c>
      <c r="G34" s="257">
        <v>0.1</v>
      </c>
      <c r="H34" s="1" t="s">
        <v>42</v>
      </c>
      <c r="I34" s="154"/>
      <c r="K34" s="152"/>
    </row>
    <row r="35" spans="1:11" ht="12.95" customHeight="1" x14ac:dyDescent="0.2">
      <c r="A35" s="221" t="s">
        <v>395</v>
      </c>
      <c r="B35" s="153"/>
      <c r="F35" s="45" t="s">
        <v>230</v>
      </c>
      <c r="G35" s="258">
        <v>20</v>
      </c>
      <c r="H35" s="1" t="s">
        <v>18</v>
      </c>
      <c r="I35" s="154"/>
      <c r="K35" s="152"/>
    </row>
    <row r="36" spans="1:11" ht="12.95" customHeight="1" thickBot="1" x14ac:dyDescent="0.25">
      <c r="B36" s="155"/>
      <c r="C36" s="156"/>
      <c r="D36" s="156"/>
      <c r="E36" s="156"/>
      <c r="F36" s="156"/>
      <c r="G36" s="156"/>
      <c r="H36" s="156"/>
      <c r="I36" s="157"/>
    </row>
    <row r="37" spans="1:11" ht="12.95" customHeight="1" thickBot="1" x14ac:dyDescent="0.25"/>
    <row r="38" spans="1:11" ht="12.95" customHeight="1" x14ac:dyDescent="0.2">
      <c r="A38" s="221">
        <v>215</v>
      </c>
      <c r="B38" s="146" t="s">
        <v>311</v>
      </c>
      <c r="C38" s="147"/>
      <c r="D38" s="148"/>
      <c r="E38" s="149"/>
      <c r="F38" s="147"/>
      <c r="G38" s="158" cm="1">
        <f t="array" ref="G38">SUMPRODUCT(E3_Verbraucher!$D$18:$XFD$18*(E3_Verbraucher!$D$22:$XFD$22="T 5: "&amp;Eing_Abnehmerart5))/max_verkaufteWM*100</f>
        <v>0</v>
      </c>
      <c r="H38" s="147" t="s">
        <v>7</v>
      </c>
      <c r="I38" s="151"/>
      <c r="K38" s="152"/>
    </row>
    <row r="39" spans="1:11" ht="12.95" customHeight="1" x14ac:dyDescent="0.2">
      <c r="A39" s="221" t="s">
        <v>62</v>
      </c>
      <c r="B39" s="153"/>
      <c r="F39" s="45" t="s">
        <v>231</v>
      </c>
      <c r="G39" s="257"/>
      <c r="H39" s="1" t="s">
        <v>232</v>
      </c>
      <c r="I39" s="154"/>
      <c r="K39" s="152"/>
    </row>
    <row r="40" spans="1:11" ht="12.95" customHeight="1" x14ac:dyDescent="0.2">
      <c r="A40" s="221" t="s">
        <v>394</v>
      </c>
      <c r="B40" s="153"/>
      <c r="F40" s="45" t="s">
        <v>8</v>
      </c>
      <c r="G40" s="257"/>
      <c r="H40" s="1" t="s">
        <v>42</v>
      </c>
      <c r="I40" s="154"/>
      <c r="K40" s="152"/>
    </row>
    <row r="41" spans="1:11" ht="12.95" customHeight="1" x14ac:dyDescent="0.2">
      <c r="A41" s="221" t="s">
        <v>395</v>
      </c>
      <c r="B41" s="153"/>
      <c r="F41" s="45" t="s">
        <v>230</v>
      </c>
      <c r="G41" s="258"/>
      <c r="H41" s="1" t="s">
        <v>18</v>
      </c>
      <c r="I41" s="154"/>
      <c r="K41" s="152"/>
    </row>
    <row r="42" spans="1:11" ht="12.95" customHeight="1" thickBot="1" x14ac:dyDescent="0.25">
      <c r="B42" s="155"/>
      <c r="C42" s="156"/>
      <c r="D42" s="156"/>
      <c r="E42" s="156"/>
      <c r="F42" s="156"/>
      <c r="G42" s="156"/>
      <c r="H42" s="156"/>
      <c r="I42" s="157"/>
    </row>
    <row r="43" spans="1:11" ht="13.5" thickBot="1" x14ac:dyDescent="0.25"/>
    <row r="44" spans="1:11" ht="12.95" customHeight="1" x14ac:dyDescent="0.2">
      <c r="A44" s="221">
        <v>216</v>
      </c>
      <c r="B44" s="146" t="s">
        <v>312</v>
      </c>
      <c r="C44" s="147"/>
      <c r="D44" s="148"/>
      <c r="E44" s="149"/>
      <c r="F44" s="147"/>
      <c r="G44" s="158" cm="1">
        <f t="array" ref="G44">SUMPRODUCT(E3_Verbraucher!$D$18:$XFD$18*(E3_Verbraucher!$D$22:$XFD$22="T 6: "&amp;Eing_Abnehmerart6))/max_verkaufteWM*100</f>
        <v>0</v>
      </c>
      <c r="H44" s="147" t="s">
        <v>7</v>
      </c>
      <c r="I44" s="151"/>
      <c r="K44" s="152"/>
    </row>
    <row r="45" spans="1:11" ht="12.95" customHeight="1" x14ac:dyDescent="0.2">
      <c r="A45" s="221" t="s">
        <v>62</v>
      </c>
      <c r="B45" s="153"/>
      <c r="F45" s="45" t="s">
        <v>231</v>
      </c>
      <c r="G45" s="257"/>
      <c r="H45" s="1" t="s">
        <v>232</v>
      </c>
      <c r="I45" s="154"/>
      <c r="K45" s="152"/>
    </row>
    <row r="46" spans="1:11" ht="12.95" customHeight="1" x14ac:dyDescent="0.2">
      <c r="A46" s="221" t="s">
        <v>394</v>
      </c>
      <c r="B46" s="153"/>
      <c r="F46" s="45" t="s">
        <v>8</v>
      </c>
      <c r="G46" s="257"/>
      <c r="H46" s="1" t="s">
        <v>42</v>
      </c>
      <c r="I46" s="154"/>
      <c r="K46" s="152"/>
    </row>
    <row r="47" spans="1:11" ht="12.95" customHeight="1" x14ac:dyDescent="0.2">
      <c r="A47" s="221" t="s">
        <v>395</v>
      </c>
      <c r="B47" s="153"/>
      <c r="F47" s="45" t="s">
        <v>230</v>
      </c>
      <c r="G47" s="258"/>
      <c r="H47" s="1" t="s">
        <v>18</v>
      </c>
      <c r="I47" s="154"/>
      <c r="K47" s="152"/>
    </row>
    <row r="48" spans="1:11" ht="12.95" customHeight="1" thickBot="1" x14ac:dyDescent="0.25">
      <c r="B48" s="155"/>
      <c r="C48" s="156"/>
      <c r="D48" s="156"/>
      <c r="E48" s="156"/>
      <c r="F48" s="156"/>
      <c r="G48" s="156"/>
      <c r="H48" s="156"/>
      <c r="I48" s="157"/>
    </row>
    <row r="49" x14ac:dyDescent="0.2"/>
    <row r="50" x14ac:dyDescent="0.2"/>
    <row r="51" x14ac:dyDescent="0.2"/>
  </sheetData>
  <sheetProtection algorithmName="SHA-512" hashValue="ZccTGnqz3MBfIfirY1D0f+Eot8HVSJMoxTaMnnHi2wh+w9ZeU6LBFlpkcdKnD/rfOm8E8MvMM1CFgjotNbts3w==" saltValue="x5cStY2UJDzeSOeCPBZ2iw==" spinCount="100000" sheet="1" objects="1" scenarios="1"/>
  <mergeCells count="4">
    <mergeCell ref="D6:I6"/>
    <mergeCell ref="D7:I7"/>
    <mergeCell ref="D8:I8"/>
    <mergeCell ref="D10:I10"/>
  </mergeCells>
  <phoneticPr fontId="10"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216" customWidth="1"/>
    <col min="2" max="2" width="18.140625" style="115" customWidth="1"/>
    <col min="3" max="3" width="36.7109375" style="115" customWidth="1"/>
    <col min="4" max="260" width="18.7109375" style="115" customWidth="1"/>
    <col min="261" max="1003" width="0" style="115" hidden="1" customWidth="1"/>
    <col min="1004" max="16384" width="10.85546875" style="115" hidden="1"/>
  </cols>
  <sheetData>
    <row r="1" spans="1:260" ht="17.100000000000001" customHeight="1" x14ac:dyDescent="0.25">
      <c r="A1" s="215">
        <v>300</v>
      </c>
      <c r="B1" s="186" t="s">
        <v>72</v>
      </c>
    </row>
    <row r="2" spans="1:260" ht="12.95" customHeight="1" x14ac:dyDescent="0.25"/>
    <row r="3" spans="1:260" ht="12.95" customHeight="1" x14ac:dyDescent="0.2">
      <c r="A3" s="214" t="s">
        <v>398</v>
      </c>
      <c r="B3" s="1"/>
      <c r="C3" s="42" t="s">
        <v>4</v>
      </c>
      <c r="D3" s="116"/>
    </row>
    <row r="4" spans="1:260" ht="12.95" customHeight="1" x14ac:dyDescent="0.2">
      <c r="A4" s="214" t="s">
        <v>399</v>
      </c>
      <c r="B4" s="1"/>
      <c r="C4" s="184" t="s">
        <v>98</v>
      </c>
      <c r="D4" s="116"/>
    </row>
    <row r="5" spans="1:260" ht="12.95" customHeight="1" x14ac:dyDescent="0.2">
      <c r="A5" s="214" t="s">
        <v>400</v>
      </c>
      <c r="B5" s="1"/>
      <c r="C5" s="117" t="s">
        <v>223</v>
      </c>
      <c r="D5" s="1"/>
    </row>
    <row r="6" spans="1:260" ht="12.95" customHeight="1" x14ac:dyDescent="0.25">
      <c r="A6" s="222">
        <v>206</v>
      </c>
      <c r="B6" s="116" t="s">
        <v>43</v>
      </c>
      <c r="C6" s="116" t="str">
        <f>IF(E1_Projektdaten!C8=0,"",E1_Projektdaten!C8)</f>
        <v>QMH Beispielprojekt 3</v>
      </c>
      <c r="D6" s="116"/>
    </row>
    <row r="7" spans="1:260" ht="12.95" customHeight="1" x14ac:dyDescent="0.25">
      <c r="B7" s="116"/>
      <c r="C7" s="116" t="str">
        <f>IF(E1_Projektdaten!C9=0,"",E1_Projektdaten!C9)</f>
        <v>Wärmeverbund Holz-WKK</v>
      </c>
    </row>
    <row r="8" spans="1:260" ht="12.95" customHeight="1" x14ac:dyDescent="0.25">
      <c r="B8" s="116"/>
      <c r="C8" s="116" t="str">
        <f>IF(E1_Projektdaten!C10=0,"",E1_Projektdaten!C10)</f>
        <v/>
      </c>
    </row>
    <row r="9" spans="1:260" ht="12.95" customHeight="1" x14ac:dyDescent="0.25"/>
    <row r="10" spans="1:260" ht="12.95" customHeight="1" x14ac:dyDescent="0.25">
      <c r="A10" s="215">
        <v>207</v>
      </c>
      <c r="B10" s="118" t="s">
        <v>44</v>
      </c>
      <c r="C10" s="115" t="str">
        <f>IF(E1_Projektdaten!C12=0,"",E1_Projektdaten!C12)</f>
        <v>Datum, Erfasser:in</v>
      </c>
    </row>
    <row r="11" spans="1:260" ht="12.95" customHeight="1" x14ac:dyDescent="0.25"/>
    <row r="12" spans="1:260" ht="12.95" customHeight="1" x14ac:dyDescent="0.25">
      <c r="A12" s="215">
        <v>310</v>
      </c>
      <c r="B12" s="116" t="s">
        <v>45</v>
      </c>
    </row>
    <row r="13" spans="1:260" ht="12.95" customHeight="1" x14ac:dyDescent="0.25"/>
    <row r="14" spans="1:260" s="122" customFormat="1" ht="12.95" customHeight="1" x14ac:dyDescent="0.25">
      <c r="A14" s="215">
        <v>311</v>
      </c>
      <c r="B14" s="119" t="s">
        <v>46</v>
      </c>
      <c r="C14" s="120" t="s">
        <v>47</v>
      </c>
      <c r="D14" s="121">
        <v>1</v>
      </c>
      <c r="E14" s="121">
        <v>2</v>
      </c>
      <c r="F14" s="121">
        <v>3</v>
      </c>
      <c r="G14" s="121">
        <v>4</v>
      </c>
      <c r="H14" s="121">
        <v>5</v>
      </c>
      <c r="I14" s="121">
        <v>6</v>
      </c>
      <c r="J14" s="121">
        <v>7</v>
      </c>
      <c r="K14" s="121">
        <v>8</v>
      </c>
      <c r="L14" s="121">
        <v>9</v>
      </c>
      <c r="M14" s="121">
        <v>10</v>
      </c>
      <c r="N14" s="121">
        <v>11</v>
      </c>
      <c r="O14" s="121">
        <v>12</v>
      </c>
      <c r="P14" s="121">
        <v>13</v>
      </c>
      <c r="Q14" s="121">
        <v>14</v>
      </c>
      <c r="R14" s="121">
        <v>15</v>
      </c>
      <c r="S14" s="121">
        <v>16</v>
      </c>
      <c r="T14" s="121">
        <v>17</v>
      </c>
      <c r="U14" s="121">
        <v>18</v>
      </c>
      <c r="V14" s="121">
        <v>19</v>
      </c>
      <c r="W14" s="121">
        <v>20</v>
      </c>
      <c r="X14" s="121">
        <v>21</v>
      </c>
      <c r="Y14" s="121">
        <v>22</v>
      </c>
      <c r="Z14" s="121">
        <v>23</v>
      </c>
      <c r="AA14" s="121">
        <v>24</v>
      </c>
      <c r="AB14" s="121">
        <v>25</v>
      </c>
      <c r="AC14" s="121">
        <v>26</v>
      </c>
      <c r="AD14" s="121">
        <v>27</v>
      </c>
      <c r="AE14" s="121">
        <v>28</v>
      </c>
      <c r="AF14" s="121">
        <v>29</v>
      </c>
      <c r="AG14" s="121">
        <v>30</v>
      </c>
      <c r="AH14" s="121">
        <v>31</v>
      </c>
      <c r="AI14" s="121">
        <v>32</v>
      </c>
      <c r="AJ14" s="121">
        <v>33</v>
      </c>
      <c r="AK14" s="121">
        <v>34</v>
      </c>
      <c r="AL14" s="121">
        <v>35</v>
      </c>
      <c r="AM14" s="121">
        <v>36</v>
      </c>
      <c r="AN14" s="121">
        <v>37</v>
      </c>
      <c r="AO14" s="121">
        <v>38</v>
      </c>
      <c r="AP14" s="121">
        <v>39</v>
      </c>
      <c r="AQ14" s="121">
        <v>40</v>
      </c>
      <c r="AR14" s="121">
        <v>41</v>
      </c>
      <c r="AS14" s="121">
        <v>42</v>
      </c>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c r="FL14" s="121"/>
      <c r="FM14" s="121"/>
      <c r="FN14" s="121"/>
      <c r="FO14" s="121"/>
      <c r="FP14" s="121"/>
      <c r="FQ14" s="121"/>
      <c r="FR14" s="121"/>
      <c r="FS14" s="121"/>
      <c r="FT14" s="121"/>
      <c r="FU14" s="121"/>
      <c r="FV14" s="121"/>
      <c r="FW14" s="121"/>
      <c r="FX14" s="121"/>
      <c r="FY14" s="121"/>
      <c r="FZ14" s="121"/>
      <c r="GA14" s="121"/>
      <c r="GB14" s="121"/>
      <c r="GC14" s="121"/>
      <c r="GD14" s="121"/>
      <c r="GE14" s="121"/>
      <c r="GF14" s="121"/>
      <c r="GG14" s="121"/>
      <c r="GH14" s="121"/>
      <c r="GI14" s="121"/>
      <c r="GJ14" s="121"/>
      <c r="GK14" s="121"/>
      <c r="GL14" s="121"/>
      <c r="GM14" s="121"/>
      <c r="GN14" s="121"/>
      <c r="GO14" s="121"/>
      <c r="GP14" s="121"/>
      <c r="GQ14" s="121"/>
      <c r="GR14" s="121"/>
      <c r="GS14" s="121"/>
      <c r="GT14" s="121"/>
      <c r="GU14" s="121"/>
      <c r="GV14" s="121"/>
      <c r="GW14" s="121"/>
      <c r="GX14" s="121"/>
      <c r="GY14" s="121"/>
      <c r="GZ14" s="121"/>
      <c r="HA14" s="121"/>
      <c r="HB14" s="121"/>
      <c r="HC14" s="121"/>
      <c r="HD14" s="121"/>
      <c r="HE14" s="121"/>
      <c r="HF14" s="121"/>
      <c r="HG14" s="121"/>
      <c r="HH14" s="121"/>
      <c r="HI14" s="121"/>
      <c r="HJ14" s="121"/>
      <c r="HK14" s="121"/>
      <c r="HL14" s="121"/>
      <c r="HM14" s="121"/>
      <c r="HN14" s="121"/>
      <c r="HO14" s="121"/>
      <c r="HP14" s="121"/>
      <c r="HQ14" s="121"/>
      <c r="HR14" s="121"/>
      <c r="HS14" s="121"/>
      <c r="HT14" s="121"/>
      <c r="HU14" s="121"/>
      <c r="HV14" s="121"/>
      <c r="HW14" s="121"/>
      <c r="HX14" s="121"/>
      <c r="HY14" s="121"/>
      <c r="HZ14" s="121"/>
      <c r="IA14" s="121"/>
      <c r="IB14" s="121"/>
      <c r="IC14" s="121"/>
      <c r="ID14" s="121"/>
      <c r="IE14" s="121"/>
      <c r="IF14" s="121"/>
      <c r="IG14" s="121"/>
      <c r="IH14" s="121"/>
      <c r="II14" s="121"/>
      <c r="IJ14" s="121"/>
      <c r="IK14" s="121"/>
      <c r="IL14" s="121"/>
      <c r="IM14" s="121"/>
      <c r="IN14" s="121"/>
      <c r="IO14" s="121"/>
      <c r="IP14" s="121"/>
      <c r="IQ14" s="121"/>
      <c r="IR14" s="121"/>
      <c r="IS14" s="121"/>
      <c r="IT14" s="121"/>
      <c r="IU14" s="121"/>
      <c r="IV14" s="121"/>
      <c r="IW14" s="121"/>
      <c r="IX14" s="121"/>
      <c r="IY14" s="121"/>
      <c r="IZ14" s="121"/>
    </row>
    <row r="15" spans="1:260" s="122" customFormat="1" ht="12.95" customHeight="1" x14ac:dyDescent="0.25">
      <c r="A15" s="215">
        <v>312</v>
      </c>
      <c r="B15" s="123"/>
      <c r="C15" s="120" t="s">
        <v>48</v>
      </c>
      <c r="D15" s="121" t="s">
        <v>953</v>
      </c>
      <c r="E15" s="121" t="s">
        <v>953</v>
      </c>
      <c r="F15" s="124" t="s">
        <v>953</v>
      </c>
      <c r="G15" s="124" t="s">
        <v>953</v>
      </c>
      <c r="H15" s="124" t="s">
        <v>953</v>
      </c>
      <c r="I15" s="124" t="s">
        <v>953</v>
      </c>
      <c r="J15" s="124" t="s">
        <v>953</v>
      </c>
      <c r="K15" s="124" t="s">
        <v>953</v>
      </c>
      <c r="L15" s="124" t="s">
        <v>953</v>
      </c>
      <c r="M15" s="124" t="s">
        <v>954</v>
      </c>
      <c r="N15" s="124" t="s">
        <v>955</v>
      </c>
      <c r="O15" s="124" t="s">
        <v>955</v>
      </c>
      <c r="P15" s="124" t="s">
        <v>953</v>
      </c>
      <c r="Q15" s="124" t="s">
        <v>953</v>
      </c>
      <c r="R15" s="124" t="s">
        <v>953</v>
      </c>
      <c r="S15" s="124" t="s">
        <v>953</v>
      </c>
      <c r="T15" s="124" t="s">
        <v>953</v>
      </c>
      <c r="U15" s="124" t="s">
        <v>953</v>
      </c>
      <c r="V15" s="124" t="s">
        <v>955</v>
      </c>
      <c r="W15" s="124" t="s">
        <v>955</v>
      </c>
      <c r="X15" s="124" t="s">
        <v>955</v>
      </c>
      <c r="Y15" s="124" t="s">
        <v>953</v>
      </c>
      <c r="Z15" s="124" t="s">
        <v>953</v>
      </c>
      <c r="AA15" s="124" t="s">
        <v>953</v>
      </c>
      <c r="AB15" s="124" t="s">
        <v>953</v>
      </c>
      <c r="AC15" s="124" t="s">
        <v>953</v>
      </c>
      <c r="AD15" s="124" t="s">
        <v>953</v>
      </c>
      <c r="AE15" s="124" t="s">
        <v>956</v>
      </c>
      <c r="AF15" s="124" t="s">
        <v>956</v>
      </c>
      <c r="AG15" s="124" t="s">
        <v>956</v>
      </c>
      <c r="AH15" s="124" t="s">
        <v>956</v>
      </c>
      <c r="AI15" s="124" t="s">
        <v>953</v>
      </c>
      <c r="AJ15" s="124" t="s">
        <v>953</v>
      </c>
      <c r="AK15" s="124" t="s">
        <v>953</v>
      </c>
      <c r="AL15" s="124" t="s">
        <v>953</v>
      </c>
      <c r="AM15" s="124" t="s">
        <v>953</v>
      </c>
      <c r="AN15" s="124" t="s">
        <v>953</v>
      </c>
      <c r="AO15" s="124" t="s">
        <v>956</v>
      </c>
      <c r="AP15" s="124" t="s">
        <v>956</v>
      </c>
      <c r="AQ15" s="124" t="s">
        <v>956</v>
      </c>
      <c r="AR15" s="124" t="s">
        <v>956</v>
      </c>
      <c r="AS15" s="124" t="s">
        <v>956</v>
      </c>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24"/>
      <c r="EI15" s="124"/>
      <c r="EJ15" s="124"/>
      <c r="EK15" s="124"/>
      <c r="EL15" s="124"/>
      <c r="EM15" s="124"/>
      <c r="EN15" s="124"/>
      <c r="EO15" s="124"/>
      <c r="EP15" s="124"/>
      <c r="EQ15" s="124"/>
      <c r="ER15" s="124"/>
      <c r="ES15" s="124"/>
      <c r="ET15" s="124"/>
      <c r="EU15" s="124"/>
      <c r="EV15" s="124"/>
      <c r="EW15" s="124"/>
      <c r="EX15" s="124"/>
      <c r="EY15" s="124"/>
      <c r="EZ15" s="124"/>
      <c r="FA15" s="124"/>
      <c r="FB15" s="124"/>
      <c r="FC15" s="124"/>
      <c r="FD15" s="124"/>
      <c r="FE15" s="124"/>
      <c r="FF15" s="124"/>
      <c r="FG15" s="124"/>
      <c r="FH15" s="124"/>
      <c r="FI15" s="124"/>
      <c r="FJ15" s="124"/>
      <c r="FK15" s="124"/>
      <c r="FL15" s="124"/>
      <c r="FM15" s="124"/>
      <c r="FN15" s="124"/>
      <c r="FO15" s="124"/>
      <c r="FP15" s="124"/>
      <c r="FQ15" s="124"/>
      <c r="FR15" s="124"/>
      <c r="FS15" s="124"/>
      <c r="FT15" s="124"/>
      <c r="FU15" s="124"/>
      <c r="FV15" s="124"/>
      <c r="FW15" s="124"/>
      <c r="FX15" s="124"/>
      <c r="FY15" s="124"/>
      <c r="FZ15" s="124"/>
      <c r="GA15" s="124"/>
      <c r="GB15" s="124"/>
      <c r="GC15" s="124"/>
      <c r="GD15" s="124"/>
      <c r="GE15" s="124"/>
      <c r="GF15" s="124"/>
      <c r="GG15" s="124"/>
      <c r="GH15" s="124"/>
      <c r="GI15" s="124"/>
      <c r="GJ15" s="124"/>
      <c r="GK15" s="124"/>
      <c r="GL15" s="124"/>
      <c r="GM15" s="124"/>
      <c r="GN15" s="124"/>
      <c r="GO15" s="124"/>
      <c r="GP15" s="124"/>
      <c r="GQ15" s="124"/>
      <c r="GR15" s="124"/>
      <c r="GS15" s="124"/>
      <c r="GT15" s="124"/>
      <c r="GU15" s="124"/>
      <c r="GV15" s="124"/>
      <c r="GW15" s="124"/>
      <c r="GX15" s="124"/>
      <c r="GY15" s="124"/>
      <c r="GZ15" s="124"/>
      <c r="HA15" s="124"/>
      <c r="HB15" s="124"/>
      <c r="HC15" s="124"/>
      <c r="HD15" s="124"/>
      <c r="HE15" s="124"/>
      <c r="HF15" s="124"/>
      <c r="HG15" s="124"/>
      <c r="HH15" s="124"/>
      <c r="HI15" s="124"/>
      <c r="HJ15" s="124"/>
      <c r="HK15" s="124"/>
      <c r="HL15" s="124"/>
      <c r="HM15" s="124"/>
      <c r="HN15" s="124"/>
      <c r="HO15" s="124"/>
      <c r="HP15" s="124"/>
      <c r="HQ15" s="124"/>
      <c r="HR15" s="124"/>
      <c r="HS15" s="124"/>
      <c r="HT15" s="124"/>
      <c r="HU15" s="124"/>
      <c r="HV15" s="124"/>
      <c r="HW15" s="124"/>
      <c r="HX15" s="124"/>
      <c r="HY15" s="124"/>
      <c r="HZ15" s="124"/>
      <c r="IA15" s="124"/>
      <c r="IB15" s="124"/>
      <c r="IC15" s="124"/>
      <c r="ID15" s="124"/>
      <c r="IE15" s="124"/>
      <c r="IF15" s="124"/>
      <c r="IG15" s="124"/>
      <c r="IH15" s="124"/>
      <c r="II15" s="124"/>
      <c r="IJ15" s="124"/>
      <c r="IK15" s="124"/>
      <c r="IL15" s="124"/>
      <c r="IM15" s="124"/>
      <c r="IN15" s="124"/>
      <c r="IO15" s="124"/>
      <c r="IP15" s="124"/>
      <c r="IQ15" s="124"/>
      <c r="IR15" s="124"/>
      <c r="IS15" s="124"/>
      <c r="IT15" s="124"/>
      <c r="IU15" s="124"/>
      <c r="IV15" s="124"/>
      <c r="IW15" s="124"/>
      <c r="IX15" s="124"/>
      <c r="IY15" s="124"/>
      <c r="IZ15" s="124"/>
    </row>
    <row r="16" spans="1:260" s="122" customFormat="1" ht="12.95" customHeight="1" x14ac:dyDescent="0.25">
      <c r="A16" s="217"/>
      <c r="B16" s="123"/>
      <c r="C16" s="120" t="s">
        <v>0</v>
      </c>
      <c r="D16" s="121"/>
      <c r="E16" s="121"/>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t="s">
        <v>957</v>
      </c>
      <c r="AR16" s="124" t="s">
        <v>958</v>
      </c>
      <c r="AS16" s="124" t="s">
        <v>959</v>
      </c>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c r="HN16" s="124"/>
      <c r="HO16" s="124"/>
      <c r="HP16" s="124"/>
      <c r="HQ16" s="124"/>
      <c r="HR16" s="124"/>
      <c r="HS16" s="124"/>
      <c r="HT16" s="124"/>
      <c r="HU16" s="124"/>
      <c r="HV16" s="124"/>
      <c r="HW16" s="124"/>
      <c r="HX16" s="124"/>
      <c r="HY16" s="124"/>
      <c r="HZ16" s="124"/>
      <c r="IA16" s="124"/>
      <c r="IB16" s="124"/>
      <c r="IC16" s="124"/>
      <c r="ID16" s="124"/>
      <c r="IE16" s="124"/>
      <c r="IF16" s="124"/>
      <c r="IG16" s="124"/>
      <c r="IH16" s="124"/>
      <c r="II16" s="124"/>
      <c r="IJ16" s="124"/>
      <c r="IK16" s="124"/>
      <c r="IL16" s="124"/>
      <c r="IM16" s="124"/>
      <c r="IN16" s="124"/>
      <c r="IO16" s="124"/>
      <c r="IP16" s="124"/>
      <c r="IQ16" s="124"/>
      <c r="IR16" s="124"/>
      <c r="IS16" s="124"/>
      <c r="IT16" s="124"/>
      <c r="IU16" s="124"/>
      <c r="IV16" s="124"/>
      <c r="IW16" s="124"/>
      <c r="IX16" s="124"/>
      <c r="IY16" s="124"/>
      <c r="IZ16" s="124"/>
    </row>
    <row r="17" spans="1:260" s="122" customFormat="1" ht="12.95" customHeight="1" x14ac:dyDescent="0.25">
      <c r="A17" s="217"/>
      <c r="B17" s="123"/>
      <c r="C17" s="120" t="s">
        <v>0</v>
      </c>
      <c r="D17" s="121"/>
      <c r="E17" s="121"/>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c r="DW17" s="124"/>
      <c r="DX17" s="124"/>
      <c r="DY17" s="124"/>
      <c r="DZ17" s="124"/>
      <c r="EA17" s="124"/>
      <c r="EB17" s="124"/>
      <c r="EC17" s="124"/>
      <c r="ED17" s="124"/>
      <c r="EE17" s="124"/>
      <c r="EF17" s="124"/>
      <c r="EG17" s="124"/>
      <c r="EH17" s="124"/>
      <c r="EI17" s="124"/>
      <c r="EJ17" s="124"/>
      <c r="EK17" s="124"/>
      <c r="EL17" s="124"/>
      <c r="EM17" s="124"/>
      <c r="EN17" s="124"/>
      <c r="EO17" s="124"/>
      <c r="EP17" s="124"/>
      <c r="EQ17" s="124"/>
      <c r="ER17" s="124"/>
      <c r="ES17" s="124"/>
      <c r="ET17" s="124"/>
      <c r="EU17" s="124"/>
      <c r="EV17" s="124"/>
      <c r="EW17" s="124"/>
      <c r="EX17" s="124"/>
      <c r="EY17" s="124"/>
      <c r="EZ17" s="124"/>
      <c r="FA17" s="124"/>
      <c r="FB17" s="124"/>
      <c r="FC17" s="124"/>
      <c r="FD17" s="124"/>
      <c r="FE17" s="124"/>
      <c r="FF17" s="124"/>
      <c r="FG17" s="124"/>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c r="GH17" s="124"/>
      <c r="GI17" s="124"/>
      <c r="GJ17" s="124"/>
      <c r="GK17" s="124"/>
      <c r="GL17" s="124"/>
      <c r="GM17" s="124"/>
      <c r="GN17" s="124"/>
      <c r="GO17" s="124"/>
      <c r="GP17" s="124"/>
      <c r="GQ17" s="124"/>
      <c r="GR17" s="124"/>
      <c r="GS17" s="124"/>
      <c r="GT17" s="124"/>
      <c r="GU17" s="124"/>
      <c r="GV17" s="124"/>
      <c r="GW17" s="124"/>
      <c r="GX17" s="124"/>
      <c r="GY17" s="124"/>
      <c r="GZ17" s="124"/>
      <c r="HA17" s="124"/>
      <c r="HB17" s="124"/>
      <c r="HC17" s="124"/>
      <c r="HD17" s="124"/>
      <c r="HE17" s="124"/>
      <c r="HF17" s="124"/>
      <c r="HG17" s="124"/>
      <c r="HH17" s="124"/>
      <c r="HI17" s="124"/>
      <c r="HJ17" s="124"/>
      <c r="HK17" s="124"/>
      <c r="HL17" s="124"/>
      <c r="HM17" s="124"/>
      <c r="HN17" s="124"/>
      <c r="HO17" s="124"/>
      <c r="HP17" s="124"/>
      <c r="HQ17" s="124"/>
      <c r="HR17" s="124"/>
      <c r="HS17" s="124"/>
      <c r="HT17" s="124"/>
      <c r="HU17" s="124"/>
      <c r="HV17" s="124"/>
      <c r="HW17" s="124"/>
      <c r="HX17" s="124"/>
      <c r="HY17" s="124"/>
      <c r="HZ17" s="124"/>
      <c r="IA17" s="124"/>
      <c r="IB17" s="124"/>
      <c r="IC17" s="124"/>
      <c r="ID17" s="124"/>
      <c r="IE17" s="124"/>
      <c r="IF17" s="124"/>
      <c r="IG17" s="124"/>
      <c r="IH17" s="124"/>
      <c r="II17" s="124"/>
      <c r="IJ17" s="124"/>
      <c r="IK17" s="124"/>
      <c r="IL17" s="124"/>
      <c r="IM17" s="124"/>
      <c r="IN17" s="124"/>
      <c r="IO17" s="124"/>
      <c r="IP17" s="124"/>
      <c r="IQ17" s="124"/>
      <c r="IR17" s="124"/>
      <c r="IS17" s="124"/>
      <c r="IT17" s="124"/>
      <c r="IU17" s="124"/>
      <c r="IV17" s="124"/>
      <c r="IW17" s="124"/>
      <c r="IX17" s="124"/>
      <c r="IY17" s="124"/>
      <c r="IZ17" s="124"/>
    </row>
    <row r="18" spans="1:260" s="122" customFormat="1" ht="12.95" customHeight="1" x14ac:dyDescent="0.25">
      <c r="A18" s="215">
        <v>320</v>
      </c>
      <c r="B18" s="119" t="s">
        <v>157</v>
      </c>
      <c r="C18" s="125" t="s">
        <v>49</v>
      </c>
      <c r="D18" s="126">
        <v>340</v>
      </c>
      <c r="E18" s="126">
        <v>850</v>
      </c>
      <c r="F18" s="127">
        <v>150</v>
      </c>
      <c r="G18" s="127">
        <v>850</v>
      </c>
      <c r="H18" s="127">
        <v>510</v>
      </c>
      <c r="I18" s="127">
        <v>510</v>
      </c>
      <c r="J18" s="127">
        <v>340</v>
      </c>
      <c r="K18" s="127">
        <v>340</v>
      </c>
      <c r="L18" s="127">
        <v>255</v>
      </c>
      <c r="M18" s="127">
        <v>300</v>
      </c>
      <c r="N18" s="127">
        <v>80</v>
      </c>
      <c r="O18" s="127">
        <v>120</v>
      </c>
      <c r="P18" s="127">
        <v>425</v>
      </c>
      <c r="Q18" s="127">
        <v>500</v>
      </c>
      <c r="R18" s="127">
        <v>510</v>
      </c>
      <c r="S18" s="127">
        <v>765</v>
      </c>
      <c r="T18" s="127">
        <v>510</v>
      </c>
      <c r="U18" s="127">
        <v>340</v>
      </c>
      <c r="V18" s="127">
        <v>102</v>
      </c>
      <c r="W18" s="127">
        <v>100</v>
      </c>
      <c r="X18" s="127">
        <v>100</v>
      </c>
      <c r="Y18" s="127">
        <v>310</v>
      </c>
      <c r="Z18" s="127">
        <v>255</v>
      </c>
      <c r="AA18" s="127">
        <v>150</v>
      </c>
      <c r="AB18" s="127">
        <v>150</v>
      </c>
      <c r="AC18" s="127">
        <v>510</v>
      </c>
      <c r="AD18" s="127">
        <v>255</v>
      </c>
      <c r="AE18" s="127">
        <v>120</v>
      </c>
      <c r="AF18" s="127">
        <v>240</v>
      </c>
      <c r="AG18" s="127">
        <v>100</v>
      </c>
      <c r="AH18" s="127">
        <v>265</v>
      </c>
      <c r="AI18" s="127">
        <v>340</v>
      </c>
      <c r="AJ18" s="127">
        <v>170</v>
      </c>
      <c r="AK18" s="127">
        <v>255</v>
      </c>
      <c r="AL18" s="127">
        <v>170</v>
      </c>
      <c r="AM18" s="127">
        <v>166</v>
      </c>
      <c r="AN18" s="127">
        <v>350</v>
      </c>
      <c r="AO18" s="127">
        <v>300</v>
      </c>
      <c r="AP18" s="127">
        <v>400</v>
      </c>
      <c r="AQ18" s="127">
        <v>1600</v>
      </c>
      <c r="AR18" s="127">
        <v>2400</v>
      </c>
      <c r="AS18" s="127">
        <v>1000</v>
      </c>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row>
    <row r="19" spans="1:260" s="122" customFormat="1" ht="12.95" customHeight="1" x14ac:dyDescent="0.25">
      <c r="A19" s="215">
        <v>321</v>
      </c>
      <c r="B19" s="123"/>
      <c r="C19" s="120" t="s">
        <v>50</v>
      </c>
      <c r="D19" s="264">
        <v>200</v>
      </c>
      <c r="E19" s="264">
        <v>500</v>
      </c>
      <c r="F19" s="264">
        <v>100</v>
      </c>
      <c r="G19" s="264">
        <v>500</v>
      </c>
      <c r="H19" s="264">
        <v>300</v>
      </c>
      <c r="I19" s="264">
        <v>300</v>
      </c>
      <c r="J19" s="264">
        <v>200</v>
      </c>
      <c r="K19" s="264">
        <v>200</v>
      </c>
      <c r="L19" s="264">
        <v>150</v>
      </c>
      <c r="M19" s="264">
        <v>150</v>
      </c>
      <c r="N19" s="264">
        <v>40</v>
      </c>
      <c r="O19" s="264">
        <v>60</v>
      </c>
      <c r="P19" s="264">
        <v>250</v>
      </c>
      <c r="Q19" s="264">
        <v>300</v>
      </c>
      <c r="R19" s="264">
        <v>300</v>
      </c>
      <c r="S19" s="264">
        <v>450</v>
      </c>
      <c r="T19" s="264">
        <v>300</v>
      </c>
      <c r="U19" s="264">
        <v>200</v>
      </c>
      <c r="V19" s="264">
        <v>60</v>
      </c>
      <c r="W19" s="264">
        <v>50</v>
      </c>
      <c r="X19" s="264">
        <v>50</v>
      </c>
      <c r="Y19" s="264">
        <v>200</v>
      </c>
      <c r="Z19" s="264">
        <v>150</v>
      </c>
      <c r="AA19" s="264">
        <v>100</v>
      </c>
      <c r="AB19" s="264">
        <v>100</v>
      </c>
      <c r="AC19" s="264">
        <v>300</v>
      </c>
      <c r="AD19" s="264">
        <v>150</v>
      </c>
      <c r="AE19" s="264">
        <v>60</v>
      </c>
      <c r="AF19" s="264">
        <v>120</v>
      </c>
      <c r="AG19" s="264">
        <v>50</v>
      </c>
      <c r="AH19" s="264">
        <v>133</v>
      </c>
      <c r="AI19" s="264">
        <v>200</v>
      </c>
      <c r="AJ19" s="264">
        <v>100</v>
      </c>
      <c r="AK19" s="264">
        <v>150</v>
      </c>
      <c r="AL19" s="264">
        <v>100</v>
      </c>
      <c r="AM19" s="264">
        <v>100</v>
      </c>
      <c r="AN19" s="264">
        <v>200</v>
      </c>
      <c r="AO19" s="264">
        <v>150</v>
      </c>
      <c r="AP19" s="264">
        <v>200</v>
      </c>
      <c r="AQ19" s="264">
        <v>800</v>
      </c>
      <c r="AR19" s="264">
        <v>1200</v>
      </c>
      <c r="AS19" s="264">
        <v>500</v>
      </c>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c r="DT19" s="264"/>
      <c r="DU19" s="264"/>
      <c r="DV19" s="264"/>
      <c r="DW19" s="264"/>
      <c r="DX19" s="264"/>
      <c r="DY19" s="264"/>
      <c r="DZ19" s="264"/>
      <c r="EA19" s="264"/>
      <c r="EB19" s="264"/>
      <c r="EC19" s="264"/>
      <c r="ED19" s="264"/>
      <c r="EE19" s="264"/>
      <c r="EF19" s="264"/>
      <c r="EG19" s="264"/>
      <c r="EH19" s="264"/>
      <c r="EI19" s="264"/>
      <c r="EJ19" s="264"/>
      <c r="EK19" s="264"/>
      <c r="EL19" s="264"/>
      <c r="EM19" s="264"/>
      <c r="EN19" s="264"/>
      <c r="EO19" s="264"/>
      <c r="EP19" s="264"/>
      <c r="EQ19" s="264"/>
      <c r="ER19" s="264"/>
      <c r="ES19" s="264"/>
      <c r="ET19" s="264"/>
      <c r="EU19" s="264"/>
      <c r="EV19" s="264"/>
      <c r="EW19" s="264"/>
      <c r="EX19" s="264"/>
      <c r="EY19" s="264"/>
      <c r="EZ19" s="264"/>
      <c r="FA19" s="264"/>
      <c r="FB19" s="264"/>
      <c r="FC19" s="264"/>
      <c r="FD19" s="264"/>
      <c r="FE19" s="264"/>
      <c r="FF19" s="264"/>
      <c r="FG19" s="264"/>
      <c r="FH19" s="264"/>
      <c r="FI19" s="264"/>
      <c r="FJ19" s="264"/>
      <c r="FK19" s="264"/>
      <c r="FL19" s="264"/>
      <c r="FM19" s="264"/>
      <c r="FN19" s="264"/>
      <c r="FO19" s="264"/>
      <c r="FP19" s="264"/>
      <c r="FQ19" s="264"/>
      <c r="FR19" s="264"/>
      <c r="FS19" s="264"/>
      <c r="FT19" s="264"/>
      <c r="FU19" s="264"/>
      <c r="FV19" s="264"/>
      <c r="FW19" s="264"/>
      <c r="FX19" s="264"/>
      <c r="FY19" s="264"/>
      <c r="FZ19" s="264"/>
      <c r="GA19" s="264"/>
      <c r="GB19" s="264"/>
      <c r="GC19" s="264"/>
      <c r="GD19" s="264"/>
      <c r="GE19" s="264"/>
      <c r="GF19" s="264"/>
      <c r="GG19" s="264"/>
      <c r="GH19" s="264"/>
      <c r="GI19" s="264"/>
      <c r="GJ19" s="264"/>
      <c r="GK19" s="264"/>
      <c r="GL19" s="264"/>
      <c r="GM19" s="264"/>
      <c r="GN19" s="264"/>
      <c r="GO19" s="264"/>
      <c r="GP19" s="264"/>
      <c r="GQ19" s="264"/>
      <c r="GR19" s="264"/>
      <c r="GS19" s="264"/>
      <c r="GT19" s="264"/>
      <c r="GU19" s="264"/>
      <c r="GV19" s="264"/>
      <c r="GW19" s="264"/>
      <c r="GX19" s="264"/>
      <c r="GY19" s="264"/>
      <c r="GZ19" s="264"/>
      <c r="HA19" s="264"/>
      <c r="HB19" s="264"/>
      <c r="HC19" s="264"/>
      <c r="HD19" s="264"/>
      <c r="HE19" s="264"/>
      <c r="HF19" s="264"/>
      <c r="HG19" s="264"/>
      <c r="HH19" s="264"/>
      <c r="HI19" s="264"/>
      <c r="HJ19" s="264"/>
      <c r="HK19" s="264"/>
      <c r="HL19" s="264"/>
      <c r="HM19" s="264"/>
      <c r="HN19" s="264"/>
      <c r="HO19" s="264"/>
      <c r="HP19" s="264"/>
      <c r="HQ19" s="264"/>
      <c r="HR19" s="264"/>
      <c r="HS19" s="264"/>
      <c r="HT19" s="264"/>
      <c r="HU19" s="264"/>
      <c r="HV19" s="264"/>
      <c r="HW19" s="264"/>
      <c r="HX19" s="264"/>
      <c r="HY19" s="264"/>
      <c r="HZ19" s="264"/>
      <c r="IA19" s="264"/>
      <c r="IB19" s="264"/>
      <c r="IC19" s="264"/>
      <c r="ID19" s="264"/>
      <c r="IE19" s="264"/>
      <c r="IF19" s="264"/>
      <c r="IG19" s="264"/>
      <c r="IH19" s="264"/>
      <c r="II19" s="264"/>
      <c r="IJ19" s="264"/>
      <c r="IK19" s="264"/>
      <c r="IL19" s="264"/>
      <c r="IM19" s="264"/>
      <c r="IN19" s="264"/>
      <c r="IO19" s="264"/>
      <c r="IP19" s="264"/>
      <c r="IQ19" s="264"/>
      <c r="IR19" s="264"/>
      <c r="IS19" s="264"/>
      <c r="IT19" s="264"/>
      <c r="IU19" s="264"/>
      <c r="IV19" s="264"/>
      <c r="IW19" s="264"/>
      <c r="IX19" s="264"/>
      <c r="IY19" s="264"/>
      <c r="IZ19" s="264"/>
    </row>
    <row r="20" spans="1:260" s="130" customFormat="1" ht="12.95" customHeight="1" x14ac:dyDescent="0.25">
      <c r="A20" s="215">
        <v>322</v>
      </c>
      <c r="B20" s="119" t="s">
        <v>51</v>
      </c>
      <c r="C20" s="256" t="s">
        <v>845</v>
      </c>
      <c r="D20" s="129">
        <v>0.5</v>
      </c>
      <c r="E20" s="129">
        <v>0.5</v>
      </c>
      <c r="F20" s="129">
        <v>0.5</v>
      </c>
      <c r="G20" s="129">
        <v>0.5</v>
      </c>
      <c r="H20" s="129">
        <v>0.5</v>
      </c>
      <c r="I20" s="129">
        <v>0.5</v>
      </c>
      <c r="J20" s="129">
        <v>0.5</v>
      </c>
      <c r="K20" s="129">
        <v>0.5</v>
      </c>
      <c r="L20" s="129">
        <v>0.5</v>
      </c>
      <c r="M20" s="129">
        <v>0.5</v>
      </c>
      <c r="N20" s="129">
        <v>0.5</v>
      </c>
      <c r="O20" s="129">
        <v>0.5</v>
      </c>
      <c r="P20" s="129">
        <v>0.5</v>
      </c>
      <c r="Q20" s="129">
        <v>0.5</v>
      </c>
      <c r="R20" s="129">
        <v>0.5</v>
      </c>
      <c r="S20" s="129">
        <v>0.5</v>
      </c>
      <c r="T20" s="129">
        <v>0.5</v>
      </c>
      <c r="U20" s="129">
        <v>0.5</v>
      </c>
      <c r="V20" s="129">
        <v>0.5</v>
      </c>
      <c r="W20" s="129">
        <v>0.5</v>
      </c>
      <c r="X20" s="129">
        <v>0.5</v>
      </c>
      <c r="Y20" s="129">
        <v>0.5</v>
      </c>
      <c r="Z20" s="129">
        <v>0.5</v>
      </c>
      <c r="AA20" s="129">
        <v>0.5</v>
      </c>
      <c r="AB20" s="129">
        <v>0.5</v>
      </c>
      <c r="AC20" s="129">
        <v>0.5</v>
      </c>
      <c r="AD20" s="129">
        <v>0.5</v>
      </c>
      <c r="AE20" s="129">
        <v>0.5</v>
      </c>
      <c r="AF20" s="129">
        <v>0.5</v>
      </c>
      <c r="AG20" s="129">
        <v>0.5</v>
      </c>
      <c r="AH20" s="129">
        <v>0.5</v>
      </c>
      <c r="AI20" s="129">
        <v>0.5</v>
      </c>
      <c r="AJ20" s="129">
        <v>0.5</v>
      </c>
      <c r="AK20" s="129">
        <v>0.5</v>
      </c>
      <c r="AL20" s="129">
        <v>0.5</v>
      </c>
      <c r="AM20" s="129">
        <v>0.5</v>
      </c>
      <c r="AN20" s="129">
        <v>0.5</v>
      </c>
      <c r="AO20" s="129">
        <v>0.5</v>
      </c>
      <c r="AP20" s="129">
        <v>0.5</v>
      </c>
      <c r="AQ20" s="129">
        <v>0.5</v>
      </c>
      <c r="AR20" s="129">
        <v>0.5</v>
      </c>
      <c r="AS20" s="129">
        <v>0.5</v>
      </c>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29"/>
      <c r="CW20" s="129"/>
      <c r="CX20" s="129"/>
      <c r="CY20" s="129"/>
      <c r="CZ20" s="129"/>
      <c r="DA20" s="129"/>
      <c r="DB20" s="129"/>
      <c r="DC20" s="129"/>
      <c r="DD20" s="129"/>
      <c r="DE20" s="129"/>
      <c r="DF20" s="129"/>
      <c r="DG20" s="129"/>
      <c r="DH20" s="129"/>
      <c r="DI20" s="129"/>
      <c r="DJ20" s="129"/>
      <c r="DK20" s="129"/>
      <c r="DL20" s="129"/>
      <c r="DM20" s="129"/>
      <c r="DN20" s="129"/>
      <c r="DO20" s="129"/>
      <c r="DP20" s="129"/>
      <c r="DQ20" s="129"/>
      <c r="DR20" s="129"/>
      <c r="DS20" s="129"/>
      <c r="DT20" s="129"/>
      <c r="DU20" s="129"/>
      <c r="DV20" s="129"/>
      <c r="DW20" s="129"/>
      <c r="DX20" s="129"/>
      <c r="DY20" s="129"/>
      <c r="DZ20" s="129"/>
      <c r="EA20" s="129"/>
      <c r="EB20" s="129"/>
      <c r="EC20" s="129"/>
      <c r="ED20" s="129"/>
      <c r="EE20" s="129"/>
      <c r="EF20" s="129"/>
      <c r="EG20" s="129"/>
      <c r="EH20" s="129"/>
      <c r="EI20" s="129"/>
      <c r="EJ20" s="129"/>
      <c r="EK20" s="129"/>
      <c r="EL20" s="129"/>
      <c r="EM20" s="129"/>
      <c r="EN20" s="129"/>
      <c r="EO20" s="129"/>
      <c r="EP20" s="129"/>
      <c r="EQ20" s="129"/>
      <c r="ER20" s="129"/>
      <c r="ES20" s="129"/>
      <c r="ET20" s="129"/>
      <c r="EU20" s="129"/>
      <c r="EV20" s="129"/>
      <c r="EW20" s="129"/>
      <c r="EX20" s="129"/>
      <c r="EY20" s="129"/>
      <c r="EZ20" s="129"/>
      <c r="FA20" s="129"/>
      <c r="FB20" s="129"/>
      <c r="FC20" s="129"/>
      <c r="FD20" s="129"/>
      <c r="FE20" s="129"/>
      <c r="FF20" s="129"/>
      <c r="FG20" s="129"/>
      <c r="FH20" s="129"/>
      <c r="FI20" s="129"/>
      <c r="FJ20" s="129"/>
      <c r="FK20" s="129"/>
      <c r="FL20" s="129"/>
      <c r="FM20" s="129"/>
      <c r="FN20" s="129"/>
      <c r="FO20" s="129"/>
      <c r="FP20" s="129"/>
      <c r="FQ20" s="129"/>
      <c r="FR20" s="129"/>
      <c r="FS20" s="129"/>
      <c r="FT20" s="129"/>
      <c r="FU20" s="129"/>
      <c r="FV20" s="129"/>
      <c r="FW20" s="129"/>
      <c r="FX20" s="129"/>
      <c r="FY20" s="129"/>
      <c r="FZ20" s="129"/>
      <c r="GA20" s="129"/>
      <c r="GB20" s="129"/>
      <c r="GC20" s="129"/>
      <c r="GD20" s="129"/>
      <c r="GE20" s="129"/>
      <c r="GF20" s="129"/>
      <c r="GG20" s="129"/>
      <c r="GH20" s="129"/>
      <c r="GI20" s="129"/>
      <c r="GJ20" s="129"/>
      <c r="GK20" s="129"/>
      <c r="GL20" s="129"/>
      <c r="GM20" s="129"/>
      <c r="GN20" s="129"/>
      <c r="GO20" s="129"/>
      <c r="GP20" s="129"/>
      <c r="GQ20" s="129"/>
      <c r="GR20" s="129"/>
      <c r="GS20" s="129"/>
      <c r="GT20" s="129"/>
      <c r="GU20" s="129"/>
      <c r="GV20" s="129"/>
      <c r="GW20" s="129"/>
      <c r="GX20" s="129"/>
      <c r="GY20" s="129"/>
      <c r="GZ20" s="129"/>
      <c r="HA20" s="129"/>
      <c r="HB20" s="129"/>
      <c r="HC20" s="129"/>
      <c r="HD20" s="129"/>
      <c r="HE20" s="129"/>
      <c r="HF20" s="129"/>
      <c r="HG20" s="129"/>
      <c r="HH20" s="129"/>
      <c r="HI20" s="129"/>
      <c r="HJ20" s="129"/>
      <c r="HK20" s="129"/>
      <c r="HL20" s="129"/>
      <c r="HM20" s="129"/>
      <c r="HN20" s="129"/>
      <c r="HO20" s="129"/>
      <c r="HP20" s="129"/>
      <c r="HQ20" s="129"/>
      <c r="HR20" s="129"/>
      <c r="HS20" s="129"/>
      <c r="HT20" s="129"/>
      <c r="HU20" s="129"/>
      <c r="HV20" s="129"/>
      <c r="HW20" s="129"/>
      <c r="HX20" s="129"/>
      <c r="HY20" s="129"/>
      <c r="HZ20" s="129"/>
      <c r="IA20" s="129"/>
      <c r="IB20" s="129"/>
      <c r="IC20" s="129"/>
      <c r="ID20" s="129"/>
      <c r="IE20" s="129"/>
      <c r="IF20" s="129"/>
      <c r="IG20" s="129"/>
      <c r="IH20" s="129"/>
      <c r="II20" s="129"/>
      <c r="IJ20" s="129"/>
      <c r="IK20" s="129"/>
      <c r="IL20" s="129"/>
      <c r="IM20" s="129"/>
      <c r="IN20" s="129"/>
      <c r="IO20" s="129"/>
      <c r="IP20" s="129"/>
      <c r="IQ20" s="129"/>
      <c r="IR20" s="129"/>
      <c r="IS20" s="129"/>
      <c r="IT20" s="129"/>
      <c r="IU20" s="129"/>
      <c r="IV20" s="129"/>
      <c r="IW20" s="129"/>
      <c r="IX20" s="129"/>
      <c r="IY20" s="129"/>
      <c r="IZ20" s="129"/>
    </row>
    <row r="21" spans="1:260" s="122" customFormat="1" ht="12.95" customHeight="1" x14ac:dyDescent="0.25">
      <c r="A21" s="215">
        <v>323</v>
      </c>
      <c r="B21" s="125"/>
      <c r="C21" s="120" t="s">
        <v>52</v>
      </c>
      <c r="D21" s="131">
        <v>2026</v>
      </c>
      <c r="E21" s="132">
        <v>2026</v>
      </c>
      <c r="F21" s="132">
        <v>2026</v>
      </c>
      <c r="G21" s="132">
        <v>2027</v>
      </c>
      <c r="H21" s="132">
        <v>2026</v>
      </c>
      <c r="I21" s="132">
        <v>2026</v>
      </c>
      <c r="J21" s="132">
        <v>2026</v>
      </c>
      <c r="K21" s="132">
        <v>2030</v>
      </c>
      <c r="L21" s="132">
        <v>2030</v>
      </c>
      <c r="M21" s="132">
        <v>2026</v>
      </c>
      <c r="N21" s="132">
        <v>2028</v>
      </c>
      <c r="O21" s="132">
        <v>2032</v>
      </c>
      <c r="P21" s="132">
        <v>2026</v>
      </c>
      <c r="Q21" s="132">
        <v>2028</v>
      </c>
      <c r="R21" s="132">
        <v>2035</v>
      </c>
      <c r="S21" s="132">
        <v>2026</v>
      </c>
      <c r="T21" s="132">
        <v>2027</v>
      </c>
      <c r="U21" s="132">
        <v>2026</v>
      </c>
      <c r="V21" s="132">
        <v>2026</v>
      </c>
      <c r="W21" s="132">
        <v>2029</v>
      </c>
      <c r="X21" s="132">
        <v>2028</v>
      </c>
      <c r="Y21" s="132">
        <v>2027</v>
      </c>
      <c r="Z21" s="132">
        <v>2026</v>
      </c>
      <c r="AA21" s="132">
        <v>2029</v>
      </c>
      <c r="AB21" s="132">
        <v>2026</v>
      </c>
      <c r="AC21" s="132">
        <v>2028</v>
      </c>
      <c r="AD21" s="132">
        <v>2026</v>
      </c>
      <c r="AE21" s="132">
        <v>2030</v>
      </c>
      <c r="AF21" s="132">
        <v>2026</v>
      </c>
      <c r="AG21" s="132">
        <v>2028</v>
      </c>
      <c r="AH21" s="132">
        <v>2026</v>
      </c>
      <c r="AI21" s="132">
        <v>2026</v>
      </c>
      <c r="AJ21" s="132">
        <v>2027</v>
      </c>
      <c r="AK21" s="132">
        <v>2027</v>
      </c>
      <c r="AL21" s="132">
        <v>2027</v>
      </c>
      <c r="AM21" s="132">
        <v>2027</v>
      </c>
      <c r="AN21" s="132">
        <v>2027</v>
      </c>
      <c r="AO21" s="132">
        <v>2027</v>
      </c>
      <c r="AP21" s="132">
        <v>2027</v>
      </c>
      <c r="AQ21" s="132">
        <v>2026</v>
      </c>
      <c r="AR21" s="132">
        <v>2028</v>
      </c>
      <c r="AS21" s="132">
        <v>2030</v>
      </c>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c r="HT21" s="132"/>
      <c r="HU21" s="132"/>
      <c r="HV21" s="132"/>
      <c r="HW21" s="132"/>
      <c r="HX21" s="132"/>
      <c r="HY21" s="132"/>
      <c r="HZ21" s="132"/>
      <c r="IA21" s="132"/>
      <c r="IB21" s="132"/>
      <c r="IC21" s="132"/>
      <c r="ID21" s="132"/>
      <c r="IE21" s="132"/>
      <c r="IF21" s="132"/>
      <c r="IG21" s="132"/>
      <c r="IH21" s="132"/>
      <c r="II21" s="132"/>
      <c r="IJ21" s="132"/>
      <c r="IK21" s="132"/>
      <c r="IL21" s="132"/>
      <c r="IM21" s="132"/>
      <c r="IN21" s="132"/>
      <c r="IO21" s="132"/>
      <c r="IP21" s="132"/>
      <c r="IQ21" s="132"/>
      <c r="IR21" s="132"/>
      <c r="IS21" s="132"/>
      <c r="IT21" s="132"/>
      <c r="IU21" s="132"/>
      <c r="IV21" s="132"/>
      <c r="IW21" s="132"/>
      <c r="IX21" s="132"/>
      <c r="IY21" s="132"/>
      <c r="IZ21" s="132"/>
    </row>
    <row r="22" spans="1:260" s="122" customFormat="1" ht="12.95" customHeight="1" x14ac:dyDescent="0.25">
      <c r="A22" s="215">
        <v>324</v>
      </c>
      <c r="B22" s="123" t="s">
        <v>53</v>
      </c>
      <c r="C22" s="125" t="s">
        <v>54</v>
      </c>
      <c r="D22" s="133" t="s">
        <v>960</v>
      </c>
      <c r="E22" s="133" t="s">
        <v>960</v>
      </c>
      <c r="F22" s="133" t="s">
        <v>961</v>
      </c>
      <c r="G22" s="133" t="s">
        <v>960</v>
      </c>
      <c r="H22" s="133" t="s">
        <v>960</v>
      </c>
      <c r="I22" s="133" t="s">
        <v>960</v>
      </c>
      <c r="J22" s="133" t="s">
        <v>960</v>
      </c>
      <c r="K22" s="133" t="s">
        <v>960</v>
      </c>
      <c r="L22" s="133" t="s">
        <v>960</v>
      </c>
      <c r="M22" s="133" t="s">
        <v>960</v>
      </c>
      <c r="N22" s="133" t="s">
        <v>962</v>
      </c>
      <c r="O22" s="133" t="s">
        <v>961</v>
      </c>
      <c r="P22" s="133" t="s">
        <v>960</v>
      </c>
      <c r="Q22" s="133" t="s">
        <v>960</v>
      </c>
      <c r="R22" s="133" t="s">
        <v>960</v>
      </c>
      <c r="S22" s="133" t="s">
        <v>960</v>
      </c>
      <c r="T22" s="133" t="s">
        <v>960</v>
      </c>
      <c r="U22" s="133" t="s">
        <v>960</v>
      </c>
      <c r="V22" s="133" t="s">
        <v>961</v>
      </c>
      <c r="W22" s="133" t="s">
        <v>962</v>
      </c>
      <c r="X22" s="133" t="s">
        <v>962</v>
      </c>
      <c r="Y22" s="133" t="s">
        <v>960</v>
      </c>
      <c r="Z22" s="133" t="s">
        <v>960</v>
      </c>
      <c r="AA22" s="133" t="s">
        <v>961</v>
      </c>
      <c r="AB22" s="133" t="s">
        <v>961</v>
      </c>
      <c r="AC22" s="133" t="s">
        <v>960</v>
      </c>
      <c r="AD22" s="133" t="s">
        <v>960</v>
      </c>
      <c r="AE22" s="133" t="s">
        <v>961</v>
      </c>
      <c r="AF22" s="133" t="s">
        <v>960</v>
      </c>
      <c r="AG22" s="133" t="s">
        <v>962</v>
      </c>
      <c r="AH22" s="133" t="s">
        <v>960</v>
      </c>
      <c r="AI22" s="133" t="s">
        <v>960</v>
      </c>
      <c r="AJ22" s="133" t="s">
        <v>961</v>
      </c>
      <c r="AK22" s="133" t="s">
        <v>960</v>
      </c>
      <c r="AL22" s="133" t="s">
        <v>961</v>
      </c>
      <c r="AM22" s="133" t="s">
        <v>961</v>
      </c>
      <c r="AN22" s="133" t="s">
        <v>960</v>
      </c>
      <c r="AO22" s="133" t="s">
        <v>960</v>
      </c>
      <c r="AP22" s="133" t="s">
        <v>960</v>
      </c>
      <c r="AQ22" s="133" t="s">
        <v>962</v>
      </c>
      <c r="AR22" s="133" t="s">
        <v>962</v>
      </c>
      <c r="AS22" s="133" t="s">
        <v>962</v>
      </c>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c r="IQ22" s="133"/>
      <c r="IR22" s="133"/>
      <c r="IS22" s="133"/>
      <c r="IT22" s="133"/>
      <c r="IU22" s="133"/>
      <c r="IV22" s="133"/>
      <c r="IW22" s="133"/>
      <c r="IX22" s="133"/>
      <c r="IY22" s="133"/>
      <c r="IZ22" s="133"/>
    </row>
    <row r="23" spans="1:260" s="134" customFormat="1" ht="12.95" customHeight="1" x14ac:dyDescent="0.25">
      <c r="A23" s="215">
        <v>325</v>
      </c>
      <c r="B23" s="125" t="s">
        <v>239</v>
      </c>
      <c r="C23" s="120" t="s">
        <v>55</v>
      </c>
      <c r="D23" s="128">
        <f>IF(D19&lt;51,13000+800*D19,IF(D19&lt;101,20000+700*D19,IF(D19&lt;500,80000+400*D19,100000+300*D19)))</f>
        <v>160000</v>
      </c>
      <c r="E23" s="128">
        <f t="shared" ref="E23:AP23" si="0">IF(E19&lt;51,13000+800*E19,IF(E19&lt;101,20000+700*E19,IF(E19&lt;500,80000+400*E19,100000+300*E19)))</f>
        <v>250000</v>
      </c>
      <c r="F23" s="128">
        <f t="shared" si="0"/>
        <v>90000</v>
      </c>
      <c r="G23" s="128">
        <f t="shared" si="0"/>
        <v>250000</v>
      </c>
      <c r="H23" s="128">
        <f t="shared" si="0"/>
        <v>200000</v>
      </c>
      <c r="I23" s="128">
        <f t="shared" si="0"/>
        <v>200000</v>
      </c>
      <c r="J23" s="128">
        <f t="shared" si="0"/>
        <v>160000</v>
      </c>
      <c r="K23" s="128">
        <f t="shared" si="0"/>
        <v>160000</v>
      </c>
      <c r="L23" s="128">
        <f t="shared" si="0"/>
        <v>140000</v>
      </c>
      <c r="M23" s="128">
        <f t="shared" si="0"/>
        <v>140000</v>
      </c>
      <c r="N23" s="128">
        <f t="shared" si="0"/>
        <v>45000</v>
      </c>
      <c r="O23" s="128">
        <f t="shared" si="0"/>
        <v>62000</v>
      </c>
      <c r="P23" s="128">
        <f t="shared" si="0"/>
        <v>180000</v>
      </c>
      <c r="Q23" s="128">
        <f t="shared" si="0"/>
        <v>200000</v>
      </c>
      <c r="R23" s="128">
        <f t="shared" si="0"/>
        <v>200000</v>
      </c>
      <c r="S23" s="128">
        <f t="shared" si="0"/>
        <v>260000</v>
      </c>
      <c r="T23" s="128">
        <f t="shared" si="0"/>
        <v>200000</v>
      </c>
      <c r="U23" s="128">
        <f t="shared" si="0"/>
        <v>160000</v>
      </c>
      <c r="V23" s="128">
        <f t="shared" si="0"/>
        <v>62000</v>
      </c>
      <c r="W23" s="128">
        <f t="shared" si="0"/>
        <v>53000</v>
      </c>
      <c r="X23" s="128">
        <f t="shared" si="0"/>
        <v>53000</v>
      </c>
      <c r="Y23" s="128">
        <f t="shared" si="0"/>
        <v>160000</v>
      </c>
      <c r="Z23" s="128">
        <f t="shared" si="0"/>
        <v>140000</v>
      </c>
      <c r="AA23" s="128">
        <f t="shared" si="0"/>
        <v>90000</v>
      </c>
      <c r="AB23" s="128">
        <f t="shared" si="0"/>
        <v>90000</v>
      </c>
      <c r="AC23" s="128">
        <f t="shared" si="0"/>
        <v>200000</v>
      </c>
      <c r="AD23" s="128">
        <f t="shared" si="0"/>
        <v>140000</v>
      </c>
      <c r="AE23" s="128">
        <f t="shared" si="0"/>
        <v>62000</v>
      </c>
      <c r="AF23" s="128">
        <f t="shared" si="0"/>
        <v>128000</v>
      </c>
      <c r="AG23" s="128">
        <f t="shared" si="0"/>
        <v>53000</v>
      </c>
      <c r="AH23" s="128">
        <f t="shared" si="0"/>
        <v>133200</v>
      </c>
      <c r="AI23" s="128">
        <f t="shared" si="0"/>
        <v>160000</v>
      </c>
      <c r="AJ23" s="128">
        <f t="shared" si="0"/>
        <v>90000</v>
      </c>
      <c r="AK23" s="128">
        <f t="shared" si="0"/>
        <v>140000</v>
      </c>
      <c r="AL23" s="128">
        <f t="shared" si="0"/>
        <v>90000</v>
      </c>
      <c r="AM23" s="128">
        <f t="shared" si="0"/>
        <v>90000</v>
      </c>
      <c r="AN23" s="128">
        <f t="shared" si="0"/>
        <v>160000</v>
      </c>
      <c r="AO23" s="128">
        <f t="shared" si="0"/>
        <v>140000</v>
      </c>
      <c r="AP23" s="128">
        <f t="shared" si="0"/>
        <v>160000</v>
      </c>
      <c r="AQ23" s="128">
        <f>20*13000+800*AQ19</f>
        <v>900000</v>
      </c>
      <c r="AR23" s="128">
        <f>30*13000+800*AR19</f>
        <v>1350000</v>
      </c>
      <c r="AS23" s="128">
        <f>15*13000+800*AS19</f>
        <v>595000</v>
      </c>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28"/>
      <c r="CX23" s="128"/>
      <c r="CY23" s="128"/>
      <c r="CZ23" s="128"/>
      <c r="DA23" s="128"/>
      <c r="DB23" s="128"/>
      <c r="DC23" s="128"/>
      <c r="DD23" s="128"/>
      <c r="DE23" s="128"/>
      <c r="DF23" s="128"/>
      <c r="DG23" s="128"/>
      <c r="DH23" s="128"/>
      <c r="DI23" s="128"/>
      <c r="DJ23" s="128"/>
      <c r="DK23" s="128"/>
      <c r="DL23" s="128"/>
      <c r="DM23" s="128"/>
      <c r="DN23" s="128"/>
      <c r="DO23" s="128"/>
      <c r="DP23" s="128"/>
      <c r="DQ23" s="128"/>
      <c r="DR23" s="128"/>
      <c r="DS23" s="128"/>
      <c r="DT23" s="128"/>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28"/>
      <c r="FA23" s="128"/>
      <c r="FB23" s="128"/>
      <c r="FC23" s="128"/>
      <c r="FD23" s="128"/>
      <c r="FE23" s="128"/>
      <c r="FF23" s="128"/>
      <c r="FG23" s="128"/>
      <c r="FH23" s="128"/>
      <c r="FI23" s="128"/>
      <c r="FJ23" s="128"/>
      <c r="FK23" s="128"/>
      <c r="FL23" s="128"/>
      <c r="FM23" s="128"/>
      <c r="FN23" s="128"/>
      <c r="FO23" s="128"/>
      <c r="FP23" s="128"/>
      <c r="FQ23" s="128"/>
      <c r="FR23" s="128"/>
      <c r="FS23" s="128"/>
      <c r="FT23" s="128"/>
      <c r="FU23" s="128"/>
      <c r="FV23" s="128"/>
      <c r="FW23" s="128"/>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c r="HI23" s="128"/>
      <c r="HJ23" s="128"/>
      <c r="HK23" s="128"/>
      <c r="HL23" s="128"/>
      <c r="HM23" s="128"/>
      <c r="HN23" s="128"/>
      <c r="HO23" s="128"/>
      <c r="HP23" s="128"/>
      <c r="HQ23" s="128"/>
      <c r="HR23" s="128"/>
      <c r="HS23" s="128"/>
      <c r="HT23" s="128"/>
      <c r="HU23" s="128"/>
      <c r="HV23" s="128"/>
      <c r="HW23" s="128"/>
      <c r="HX23" s="128"/>
      <c r="HY23" s="128"/>
      <c r="HZ23" s="128"/>
      <c r="IA23" s="128"/>
      <c r="IB23" s="128"/>
      <c r="IC23" s="128"/>
      <c r="ID23" s="128"/>
      <c r="IE23" s="128"/>
      <c r="IF23" s="128"/>
      <c r="IG23" s="128"/>
      <c r="IH23" s="128"/>
      <c r="II23" s="128"/>
      <c r="IJ23" s="128"/>
      <c r="IK23" s="128"/>
      <c r="IL23" s="128"/>
      <c r="IM23" s="128"/>
      <c r="IN23" s="128"/>
      <c r="IO23" s="128"/>
      <c r="IP23" s="128"/>
      <c r="IQ23" s="128"/>
      <c r="IR23" s="128"/>
      <c r="IS23" s="128"/>
      <c r="IT23" s="128"/>
      <c r="IU23" s="128"/>
      <c r="IV23" s="128"/>
      <c r="IW23" s="128"/>
      <c r="IX23" s="128"/>
      <c r="IY23" s="128"/>
      <c r="IZ23" s="128"/>
    </row>
    <row r="24" spans="1:260" s="134" customFormat="1" ht="12.95" customHeight="1" x14ac:dyDescent="0.25">
      <c r="A24" s="215">
        <v>326</v>
      </c>
      <c r="B24" s="272" t="s">
        <v>1</v>
      </c>
      <c r="C24" s="273" t="s">
        <v>849</v>
      </c>
      <c r="D24" s="128">
        <f>40*D18</f>
        <v>13600</v>
      </c>
      <c r="E24" s="128">
        <f t="shared" ref="E24:AS24" si="1">40*E18</f>
        <v>34000</v>
      </c>
      <c r="F24" s="128">
        <f t="shared" si="1"/>
        <v>6000</v>
      </c>
      <c r="G24" s="128">
        <f t="shared" si="1"/>
        <v>34000</v>
      </c>
      <c r="H24" s="128">
        <f t="shared" si="1"/>
        <v>20400</v>
      </c>
      <c r="I24" s="128">
        <f t="shared" si="1"/>
        <v>20400</v>
      </c>
      <c r="J24" s="128">
        <f t="shared" si="1"/>
        <v>13600</v>
      </c>
      <c r="K24" s="128">
        <f t="shared" si="1"/>
        <v>13600</v>
      </c>
      <c r="L24" s="128">
        <f t="shared" si="1"/>
        <v>10200</v>
      </c>
      <c r="M24" s="128">
        <f t="shared" si="1"/>
        <v>12000</v>
      </c>
      <c r="N24" s="128">
        <f t="shared" si="1"/>
        <v>3200</v>
      </c>
      <c r="O24" s="128">
        <f t="shared" si="1"/>
        <v>4800</v>
      </c>
      <c r="P24" s="128">
        <f t="shared" si="1"/>
        <v>17000</v>
      </c>
      <c r="Q24" s="128">
        <f t="shared" si="1"/>
        <v>20000</v>
      </c>
      <c r="R24" s="128">
        <f t="shared" si="1"/>
        <v>20400</v>
      </c>
      <c r="S24" s="128">
        <f t="shared" si="1"/>
        <v>30600</v>
      </c>
      <c r="T24" s="128">
        <f t="shared" si="1"/>
        <v>20400</v>
      </c>
      <c r="U24" s="128">
        <f t="shared" si="1"/>
        <v>13600</v>
      </c>
      <c r="V24" s="128">
        <f t="shared" si="1"/>
        <v>4080</v>
      </c>
      <c r="W24" s="128">
        <f t="shared" si="1"/>
        <v>4000</v>
      </c>
      <c r="X24" s="128">
        <f t="shared" si="1"/>
        <v>4000</v>
      </c>
      <c r="Y24" s="128">
        <f t="shared" si="1"/>
        <v>12400</v>
      </c>
      <c r="Z24" s="128">
        <f t="shared" si="1"/>
        <v>10200</v>
      </c>
      <c r="AA24" s="128">
        <f t="shared" si="1"/>
        <v>6000</v>
      </c>
      <c r="AB24" s="128">
        <f t="shared" si="1"/>
        <v>6000</v>
      </c>
      <c r="AC24" s="128">
        <f t="shared" si="1"/>
        <v>20400</v>
      </c>
      <c r="AD24" s="128">
        <f t="shared" si="1"/>
        <v>10200</v>
      </c>
      <c r="AE24" s="128">
        <f t="shared" si="1"/>
        <v>4800</v>
      </c>
      <c r="AF24" s="128">
        <f t="shared" si="1"/>
        <v>9600</v>
      </c>
      <c r="AG24" s="128">
        <f t="shared" si="1"/>
        <v>4000</v>
      </c>
      <c r="AH24" s="128">
        <f t="shared" si="1"/>
        <v>10600</v>
      </c>
      <c r="AI24" s="128">
        <f t="shared" si="1"/>
        <v>13600</v>
      </c>
      <c r="AJ24" s="128">
        <f t="shared" si="1"/>
        <v>6800</v>
      </c>
      <c r="AK24" s="128">
        <f t="shared" si="1"/>
        <v>10200</v>
      </c>
      <c r="AL24" s="128">
        <f t="shared" si="1"/>
        <v>6800</v>
      </c>
      <c r="AM24" s="128">
        <f t="shared" si="1"/>
        <v>6640</v>
      </c>
      <c r="AN24" s="128">
        <f t="shared" si="1"/>
        <v>14000</v>
      </c>
      <c r="AO24" s="128">
        <f t="shared" si="1"/>
        <v>12000</v>
      </c>
      <c r="AP24" s="128">
        <f t="shared" si="1"/>
        <v>16000</v>
      </c>
      <c r="AQ24" s="128">
        <f t="shared" si="1"/>
        <v>64000</v>
      </c>
      <c r="AR24" s="128">
        <f t="shared" si="1"/>
        <v>96000</v>
      </c>
      <c r="AS24" s="128">
        <f t="shared" si="1"/>
        <v>40000</v>
      </c>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28"/>
      <c r="BT24" s="128"/>
      <c r="BU24" s="128"/>
      <c r="BV24" s="128"/>
      <c r="BW24" s="128"/>
      <c r="BX24" s="128"/>
      <c r="BY24" s="128"/>
      <c r="BZ24" s="128"/>
      <c r="CA24" s="128"/>
      <c r="CB24" s="128"/>
      <c r="CC24" s="128"/>
      <c r="CD24" s="128"/>
      <c r="CE24" s="128"/>
      <c r="CF24" s="128"/>
      <c r="CG24" s="128"/>
      <c r="CH24" s="128"/>
      <c r="CI24" s="128"/>
      <c r="CJ24" s="128"/>
      <c r="CK24" s="128"/>
      <c r="CL24" s="128"/>
      <c r="CM24" s="128"/>
      <c r="CN24" s="128"/>
      <c r="CO24" s="128"/>
      <c r="CP24" s="128"/>
      <c r="CQ24" s="128"/>
      <c r="CR24" s="128"/>
      <c r="CS24" s="128"/>
      <c r="CT24" s="128"/>
      <c r="CU24" s="128"/>
      <c r="CV24" s="128"/>
      <c r="CW24" s="128"/>
      <c r="CX24" s="128"/>
      <c r="CY24" s="128"/>
      <c r="CZ24" s="128"/>
      <c r="DA24" s="128"/>
      <c r="DB24" s="128"/>
      <c r="DC24" s="128"/>
      <c r="DD24" s="128"/>
      <c r="DE24" s="128"/>
      <c r="DF24" s="128"/>
      <c r="DG24" s="128"/>
      <c r="DH24" s="128"/>
      <c r="DI24" s="128"/>
      <c r="DJ24" s="128"/>
      <c r="DK24" s="128"/>
      <c r="DL24" s="128"/>
      <c r="DM24" s="128"/>
      <c r="DN24" s="128"/>
      <c r="DO24" s="128"/>
      <c r="DP24" s="128"/>
      <c r="DQ24" s="128"/>
      <c r="DR24" s="128"/>
      <c r="DS24" s="128"/>
      <c r="DT24" s="128"/>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28"/>
      <c r="FA24" s="128"/>
      <c r="FB24" s="128"/>
      <c r="FC24" s="128"/>
      <c r="FD24" s="128"/>
      <c r="FE24" s="128"/>
      <c r="FF24" s="128"/>
      <c r="FG24" s="128"/>
      <c r="FH24" s="128"/>
      <c r="FI24" s="128"/>
      <c r="FJ24" s="128"/>
      <c r="FK24" s="128"/>
      <c r="FL24" s="128"/>
      <c r="FM24" s="128"/>
      <c r="FN24" s="128"/>
      <c r="FO24" s="128"/>
      <c r="FP24" s="128"/>
      <c r="FQ24" s="128"/>
      <c r="FR24" s="128"/>
      <c r="FS24" s="128"/>
      <c r="FT24" s="128"/>
      <c r="FU24" s="128"/>
      <c r="FV24" s="128"/>
      <c r="FW24" s="128"/>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c r="HI24" s="128"/>
      <c r="HJ24" s="128"/>
      <c r="HK24" s="128"/>
      <c r="HL24" s="128"/>
      <c r="HM24" s="128"/>
      <c r="HN24" s="128"/>
      <c r="HO24" s="128"/>
      <c r="HP24" s="128"/>
      <c r="HQ24" s="128"/>
      <c r="HR24" s="128"/>
      <c r="HS24" s="128"/>
      <c r="HT24" s="128"/>
      <c r="HU24" s="128"/>
      <c r="HV24" s="128"/>
      <c r="HW24" s="128"/>
      <c r="HX24" s="128"/>
      <c r="HY24" s="128"/>
      <c r="HZ24" s="128"/>
      <c r="IA24" s="128"/>
      <c r="IB24" s="128"/>
      <c r="IC24" s="128"/>
      <c r="ID24" s="128"/>
      <c r="IE24" s="128"/>
      <c r="IF24" s="128"/>
      <c r="IG24" s="128"/>
      <c r="IH24" s="128"/>
      <c r="II24" s="128"/>
      <c r="IJ24" s="128"/>
      <c r="IK24" s="128"/>
      <c r="IL24" s="128"/>
      <c r="IM24" s="128"/>
      <c r="IN24" s="128"/>
      <c r="IO24" s="128"/>
      <c r="IP24" s="128"/>
      <c r="IQ24" s="128"/>
      <c r="IR24" s="128"/>
      <c r="IS24" s="128"/>
      <c r="IT24" s="128"/>
      <c r="IU24" s="128"/>
      <c r="IV24" s="128"/>
      <c r="IW24" s="128"/>
      <c r="IX24" s="128"/>
      <c r="IY24" s="128"/>
      <c r="IZ24" s="128"/>
    </row>
    <row r="25" spans="1:260" s="122" customFormat="1" ht="12.95" customHeight="1" x14ac:dyDescent="0.25">
      <c r="A25" s="215">
        <v>330</v>
      </c>
      <c r="B25" s="125"/>
      <c r="C25" s="120" t="s">
        <v>240</v>
      </c>
      <c r="D25" s="135">
        <f>IF(ISBLANK(D22),0,SUM(D23,-D24)/VLOOKUP(D22,$B$36:$E$41,4,0))</f>
        <v>7320</v>
      </c>
      <c r="E25" s="135">
        <f t="shared" ref="E25:BP25" si="2">IF(ISBLANK(E22),0,SUM(E23,-E24)/VLOOKUP(E22,$B$36:$E$41,4,0))</f>
        <v>10800</v>
      </c>
      <c r="F25" s="135">
        <f t="shared" si="2"/>
        <v>4200</v>
      </c>
      <c r="G25" s="135">
        <f t="shared" si="2"/>
        <v>10800</v>
      </c>
      <c r="H25" s="135">
        <f t="shared" si="2"/>
        <v>8980</v>
      </c>
      <c r="I25" s="135">
        <f t="shared" si="2"/>
        <v>8980</v>
      </c>
      <c r="J25" s="135">
        <f t="shared" si="2"/>
        <v>7320</v>
      </c>
      <c r="K25" s="135">
        <f t="shared" si="2"/>
        <v>7320</v>
      </c>
      <c r="L25" s="135">
        <f t="shared" si="2"/>
        <v>6490</v>
      </c>
      <c r="M25" s="135">
        <f t="shared" si="2"/>
        <v>6400</v>
      </c>
      <c r="N25" s="135">
        <f t="shared" si="2"/>
        <v>2090</v>
      </c>
      <c r="O25" s="135">
        <f t="shared" si="2"/>
        <v>2860</v>
      </c>
      <c r="P25" s="135">
        <f t="shared" si="2"/>
        <v>8150</v>
      </c>
      <c r="Q25" s="135">
        <f t="shared" si="2"/>
        <v>9000</v>
      </c>
      <c r="R25" s="135">
        <f t="shared" si="2"/>
        <v>8980</v>
      </c>
      <c r="S25" s="135">
        <f t="shared" si="2"/>
        <v>11470</v>
      </c>
      <c r="T25" s="135">
        <f t="shared" si="2"/>
        <v>8980</v>
      </c>
      <c r="U25" s="135">
        <f t="shared" si="2"/>
        <v>7320</v>
      </c>
      <c r="V25" s="135">
        <f t="shared" si="2"/>
        <v>2896</v>
      </c>
      <c r="W25" s="135">
        <f t="shared" si="2"/>
        <v>2450</v>
      </c>
      <c r="X25" s="135">
        <f t="shared" si="2"/>
        <v>2450</v>
      </c>
      <c r="Y25" s="135">
        <f t="shared" si="2"/>
        <v>7380</v>
      </c>
      <c r="Z25" s="135">
        <f t="shared" si="2"/>
        <v>6490</v>
      </c>
      <c r="AA25" s="135">
        <f t="shared" si="2"/>
        <v>4200</v>
      </c>
      <c r="AB25" s="135">
        <f t="shared" si="2"/>
        <v>4200</v>
      </c>
      <c r="AC25" s="135">
        <f t="shared" si="2"/>
        <v>8980</v>
      </c>
      <c r="AD25" s="135">
        <f t="shared" si="2"/>
        <v>6490</v>
      </c>
      <c r="AE25" s="135">
        <f t="shared" si="2"/>
        <v>2860</v>
      </c>
      <c r="AF25" s="135">
        <f t="shared" si="2"/>
        <v>5920</v>
      </c>
      <c r="AG25" s="135">
        <f t="shared" si="2"/>
        <v>2450</v>
      </c>
      <c r="AH25" s="135">
        <f t="shared" si="2"/>
        <v>6130</v>
      </c>
      <c r="AI25" s="135">
        <f t="shared" si="2"/>
        <v>7320</v>
      </c>
      <c r="AJ25" s="135">
        <f t="shared" si="2"/>
        <v>4160</v>
      </c>
      <c r="AK25" s="135">
        <f t="shared" si="2"/>
        <v>6490</v>
      </c>
      <c r="AL25" s="135">
        <f t="shared" si="2"/>
        <v>4160</v>
      </c>
      <c r="AM25" s="135">
        <f t="shared" si="2"/>
        <v>4168</v>
      </c>
      <c r="AN25" s="135">
        <f t="shared" si="2"/>
        <v>7300</v>
      </c>
      <c r="AO25" s="135">
        <f t="shared" si="2"/>
        <v>6400</v>
      </c>
      <c r="AP25" s="135">
        <f t="shared" si="2"/>
        <v>7200</v>
      </c>
      <c r="AQ25" s="135">
        <f t="shared" si="2"/>
        <v>41800</v>
      </c>
      <c r="AR25" s="135">
        <f t="shared" si="2"/>
        <v>62700</v>
      </c>
      <c r="AS25" s="135">
        <f t="shared" si="2"/>
        <v>27750</v>
      </c>
      <c r="AT25" s="135">
        <f t="shared" si="2"/>
        <v>0</v>
      </c>
      <c r="AU25" s="135">
        <f t="shared" si="2"/>
        <v>0</v>
      </c>
      <c r="AV25" s="135">
        <f t="shared" si="2"/>
        <v>0</v>
      </c>
      <c r="AW25" s="135">
        <f t="shared" si="2"/>
        <v>0</v>
      </c>
      <c r="AX25" s="135">
        <f t="shared" si="2"/>
        <v>0</v>
      </c>
      <c r="AY25" s="135">
        <f t="shared" si="2"/>
        <v>0</v>
      </c>
      <c r="AZ25" s="135">
        <f t="shared" si="2"/>
        <v>0</v>
      </c>
      <c r="BA25" s="135">
        <f t="shared" si="2"/>
        <v>0</v>
      </c>
      <c r="BB25" s="135">
        <f t="shared" si="2"/>
        <v>0</v>
      </c>
      <c r="BC25" s="135">
        <f t="shared" si="2"/>
        <v>0</v>
      </c>
      <c r="BD25" s="135">
        <f t="shared" si="2"/>
        <v>0</v>
      </c>
      <c r="BE25" s="135">
        <f t="shared" si="2"/>
        <v>0</v>
      </c>
      <c r="BF25" s="135">
        <f t="shared" si="2"/>
        <v>0</v>
      </c>
      <c r="BG25" s="135">
        <f t="shared" si="2"/>
        <v>0</v>
      </c>
      <c r="BH25" s="135">
        <f t="shared" si="2"/>
        <v>0</v>
      </c>
      <c r="BI25" s="135">
        <f t="shared" si="2"/>
        <v>0</v>
      </c>
      <c r="BJ25" s="135">
        <f t="shared" si="2"/>
        <v>0</v>
      </c>
      <c r="BK25" s="135">
        <f t="shared" si="2"/>
        <v>0</v>
      </c>
      <c r="BL25" s="135">
        <f t="shared" si="2"/>
        <v>0</v>
      </c>
      <c r="BM25" s="135">
        <f t="shared" si="2"/>
        <v>0</v>
      </c>
      <c r="BN25" s="135">
        <f t="shared" si="2"/>
        <v>0</v>
      </c>
      <c r="BO25" s="135">
        <f t="shared" si="2"/>
        <v>0</v>
      </c>
      <c r="BP25" s="135">
        <f t="shared" si="2"/>
        <v>0</v>
      </c>
      <c r="BQ25" s="135">
        <f t="shared" ref="BQ25:EB25" si="3">IF(ISBLANK(BQ22),0,SUM(BQ23,-BQ24)/VLOOKUP(BQ22,$B$36:$E$41,4,0))</f>
        <v>0</v>
      </c>
      <c r="BR25" s="135">
        <f t="shared" si="3"/>
        <v>0</v>
      </c>
      <c r="BS25" s="135">
        <f t="shared" si="3"/>
        <v>0</v>
      </c>
      <c r="BT25" s="135">
        <f t="shared" si="3"/>
        <v>0</v>
      </c>
      <c r="BU25" s="135">
        <f t="shared" si="3"/>
        <v>0</v>
      </c>
      <c r="BV25" s="135">
        <f t="shared" si="3"/>
        <v>0</v>
      </c>
      <c r="BW25" s="135">
        <f t="shared" si="3"/>
        <v>0</v>
      </c>
      <c r="BX25" s="135">
        <f t="shared" si="3"/>
        <v>0</v>
      </c>
      <c r="BY25" s="135">
        <f t="shared" si="3"/>
        <v>0</v>
      </c>
      <c r="BZ25" s="135">
        <f t="shared" si="3"/>
        <v>0</v>
      </c>
      <c r="CA25" s="135">
        <f t="shared" si="3"/>
        <v>0</v>
      </c>
      <c r="CB25" s="135">
        <f t="shared" si="3"/>
        <v>0</v>
      </c>
      <c r="CC25" s="135">
        <f t="shared" si="3"/>
        <v>0</v>
      </c>
      <c r="CD25" s="135">
        <f t="shared" si="3"/>
        <v>0</v>
      </c>
      <c r="CE25" s="135">
        <f t="shared" si="3"/>
        <v>0</v>
      </c>
      <c r="CF25" s="135">
        <f t="shared" si="3"/>
        <v>0</v>
      </c>
      <c r="CG25" s="135">
        <f t="shared" si="3"/>
        <v>0</v>
      </c>
      <c r="CH25" s="135">
        <f t="shared" si="3"/>
        <v>0</v>
      </c>
      <c r="CI25" s="135">
        <f t="shared" si="3"/>
        <v>0</v>
      </c>
      <c r="CJ25" s="135">
        <f t="shared" si="3"/>
        <v>0</v>
      </c>
      <c r="CK25" s="135">
        <f t="shared" si="3"/>
        <v>0</v>
      </c>
      <c r="CL25" s="135">
        <f t="shared" si="3"/>
        <v>0</v>
      </c>
      <c r="CM25" s="135">
        <f t="shared" si="3"/>
        <v>0</v>
      </c>
      <c r="CN25" s="135">
        <f t="shared" si="3"/>
        <v>0</v>
      </c>
      <c r="CO25" s="135">
        <f t="shared" si="3"/>
        <v>0</v>
      </c>
      <c r="CP25" s="135">
        <f t="shared" si="3"/>
        <v>0</v>
      </c>
      <c r="CQ25" s="135">
        <f t="shared" si="3"/>
        <v>0</v>
      </c>
      <c r="CR25" s="135">
        <f t="shared" si="3"/>
        <v>0</v>
      </c>
      <c r="CS25" s="135">
        <f t="shared" si="3"/>
        <v>0</v>
      </c>
      <c r="CT25" s="135">
        <f t="shared" si="3"/>
        <v>0</v>
      </c>
      <c r="CU25" s="135">
        <f t="shared" si="3"/>
        <v>0</v>
      </c>
      <c r="CV25" s="135">
        <f t="shared" si="3"/>
        <v>0</v>
      </c>
      <c r="CW25" s="135">
        <f t="shared" si="3"/>
        <v>0</v>
      </c>
      <c r="CX25" s="135">
        <f t="shared" si="3"/>
        <v>0</v>
      </c>
      <c r="CY25" s="135">
        <f t="shared" si="3"/>
        <v>0</v>
      </c>
      <c r="CZ25" s="135">
        <f t="shared" si="3"/>
        <v>0</v>
      </c>
      <c r="DA25" s="135">
        <f t="shared" si="3"/>
        <v>0</v>
      </c>
      <c r="DB25" s="135">
        <f t="shared" si="3"/>
        <v>0</v>
      </c>
      <c r="DC25" s="135">
        <f t="shared" si="3"/>
        <v>0</v>
      </c>
      <c r="DD25" s="135">
        <f t="shared" si="3"/>
        <v>0</v>
      </c>
      <c r="DE25" s="135">
        <f t="shared" si="3"/>
        <v>0</v>
      </c>
      <c r="DF25" s="135">
        <f t="shared" si="3"/>
        <v>0</v>
      </c>
      <c r="DG25" s="135">
        <f t="shared" si="3"/>
        <v>0</v>
      </c>
      <c r="DH25" s="135">
        <f t="shared" si="3"/>
        <v>0</v>
      </c>
      <c r="DI25" s="135">
        <f t="shared" si="3"/>
        <v>0</v>
      </c>
      <c r="DJ25" s="135">
        <f t="shared" si="3"/>
        <v>0</v>
      </c>
      <c r="DK25" s="135">
        <f t="shared" si="3"/>
        <v>0</v>
      </c>
      <c r="DL25" s="135">
        <f t="shared" si="3"/>
        <v>0</v>
      </c>
      <c r="DM25" s="135">
        <f t="shared" si="3"/>
        <v>0</v>
      </c>
      <c r="DN25" s="135">
        <f t="shared" si="3"/>
        <v>0</v>
      </c>
      <c r="DO25" s="135">
        <f t="shared" si="3"/>
        <v>0</v>
      </c>
      <c r="DP25" s="135">
        <f t="shared" si="3"/>
        <v>0</v>
      </c>
      <c r="DQ25" s="135">
        <f t="shared" si="3"/>
        <v>0</v>
      </c>
      <c r="DR25" s="135">
        <f t="shared" si="3"/>
        <v>0</v>
      </c>
      <c r="DS25" s="135">
        <f t="shared" si="3"/>
        <v>0</v>
      </c>
      <c r="DT25" s="135">
        <f t="shared" si="3"/>
        <v>0</v>
      </c>
      <c r="DU25" s="135">
        <f t="shared" si="3"/>
        <v>0</v>
      </c>
      <c r="DV25" s="135">
        <f t="shared" si="3"/>
        <v>0</v>
      </c>
      <c r="DW25" s="135">
        <f t="shared" si="3"/>
        <v>0</v>
      </c>
      <c r="DX25" s="135">
        <f t="shared" si="3"/>
        <v>0</v>
      </c>
      <c r="DY25" s="135">
        <f t="shared" si="3"/>
        <v>0</v>
      </c>
      <c r="DZ25" s="135">
        <f t="shared" si="3"/>
        <v>0</v>
      </c>
      <c r="EA25" s="135">
        <f t="shared" si="3"/>
        <v>0</v>
      </c>
      <c r="EB25" s="135">
        <f t="shared" si="3"/>
        <v>0</v>
      </c>
      <c r="EC25" s="135">
        <f t="shared" ref="EC25:GN25" si="4">IF(ISBLANK(EC22),0,SUM(EC23,-EC24)/VLOOKUP(EC22,$B$36:$E$41,4,0))</f>
        <v>0</v>
      </c>
      <c r="ED25" s="135">
        <f t="shared" si="4"/>
        <v>0</v>
      </c>
      <c r="EE25" s="135">
        <f t="shared" si="4"/>
        <v>0</v>
      </c>
      <c r="EF25" s="135">
        <f t="shared" si="4"/>
        <v>0</v>
      </c>
      <c r="EG25" s="135">
        <f t="shared" si="4"/>
        <v>0</v>
      </c>
      <c r="EH25" s="135">
        <f t="shared" si="4"/>
        <v>0</v>
      </c>
      <c r="EI25" s="135">
        <f t="shared" si="4"/>
        <v>0</v>
      </c>
      <c r="EJ25" s="135">
        <f t="shared" si="4"/>
        <v>0</v>
      </c>
      <c r="EK25" s="135">
        <f t="shared" si="4"/>
        <v>0</v>
      </c>
      <c r="EL25" s="135">
        <f t="shared" si="4"/>
        <v>0</v>
      </c>
      <c r="EM25" s="135">
        <f t="shared" si="4"/>
        <v>0</v>
      </c>
      <c r="EN25" s="135">
        <f t="shared" si="4"/>
        <v>0</v>
      </c>
      <c r="EO25" s="135">
        <f t="shared" si="4"/>
        <v>0</v>
      </c>
      <c r="EP25" s="135">
        <f t="shared" si="4"/>
        <v>0</v>
      </c>
      <c r="EQ25" s="135">
        <f t="shared" si="4"/>
        <v>0</v>
      </c>
      <c r="ER25" s="135">
        <f t="shared" si="4"/>
        <v>0</v>
      </c>
      <c r="ES25" s="135">
        <f t="shared" si="4"/>
        <v>0</v>
      </c>
      <c r="ET25" s="135">
        <f t="shared" si="4"/>
        <v>0</v>
      </c>
      <c r="EU25" s="135">
        <f t="shared" si="4"/>
        <v>0</v>
      </c>
      <c r="EV25" s="135">
        <f t="shared" si="4"/>
        <v>0</v>
      </c>
      <c r="EW25" s="135">
        <f t="shared" si="4"/>
        <v>0</v>
      </c>
      <c r="EX25" s="135">
        <f t="shared" si="4"/>
        <v>0</v>
      </c>
      <c r="EY25" s="135">
        <f t="shared" si="4"/>
        <v>0</v>
      </c>
      <c r="EZ25" s="135">
        <f t="shared" si="4"/>
        <v>0</v>
      </c>
      <c r="FA25" s="135">
        <f t="shared" si="4"/>
        <v>0</v>
      </c>
      <c r="FB25" s="135">
        <f t="shared" si="4"/>
        <v>0</v>
      </c>
      <c r="FC25" s="135">
        <f t="shared" si="4"/>
        <v>0</v>
      </c>
      <c r="FD25" s="135">
        <f t="shared" si="4"/>
        <v>0</v>
      </c>
      <c r="FE25" s="135">
        <f t="shared" si="4"/>
        <v>0</v>
      </c>
      <c r="FF25" s="135">
        <f t="shared" si="4"/>
        <v>0</v>
      </c>
      <c r="FG25" s="135">
        <f t="shared" si="4"/>
        <v>0</v>
      </c>
      <c r="FH25" s="135">
        <f t="shared" si="4"/>
        <v>0</v>
      </c>
      <c r="FI25" s="135">
        <f t="shared" si="4"/>
        <v>0</v>
      </c>
      <c r="FJ25" s="135">
        <f t="shared" si="4"/>
        <v>0</v>
      </c>
      <c r="FK25" s="135">
        <f t="shared" si="4"/>
        <v>0</v>
      </c>
      <c r="FL25" s="135">
        <f t="shared" si="4"/>
        <v>0</v>
      </c>
      <c r="FM25" s="135">
        <f t="shared" si="4"/>
        <v>0</v>
      </c>
      <c r="FN25" s="135">
        <f t="shared" si="4"/>
        <v>0</v>
      </c>
      <c r="FO25" s="135">
        <f t="shared" si="4"/>
        <v>0</v>
      </c>
      <c r="FP25" s="135">
        <f t="shared" si="4"/>
        <v>0</v>
      </c>
      <c r="FQ25" s="135">
        <f t="shared" si="4"/>
        <v>0</v>
      </c>
      <c r="FR25" s="135">
        <f t="shared" si="4"/>
        <v>0</v>
      </c>
      <c r="FS25" s="135">
        <f t="shared" si="4"/>
        <v>0</v>
      </c>
      <c r="FT25" s="135">
        <f t="shared" si="4"/>
        <v>0</v>
      </c>
      <c r="FU25" s="135">
        <f t="shared" si="4"/>
        <v>0</v>
      </c>
      <c r="FV25" s="135">
        <f t="shared" si="4"/>
        <v>0</v>
      </c>
      <c r="FW25" s="135">
        <f t="shared" si="4"/>
        <v>0</v>
      </c>
      <c r="FX25" s="135">
        <f t="shared" si="4"/>
        <v>0</v>
      </c>
      <c r="FY25" s="135">
        <f t="shared" si="4"/>
        <v>0</v>
      </c>
      <c r="FZ25" s="135">
        <f t="shared" si="4"/>
        <v>0</v>
      </c>
      <c r="GA25" s="135">
        <f t="shared" si="4"/>
        <v>0</v>
      </c>
      <c r="GB25" s="135">
        <f t="shared" si="4"/>
        <v>0</v>
      </c>
      <c r="GC25" s="135">
        <f t="shared" si="4"/>
        <v>0</v>
      </c>
      <c r="GD25" s="135">
        <f t="shared" si="4"/>
        <v>0</v>
      </c>
      <c r="GE25" s="135">
        <f t="shared" si="4"/>
        <v>0</v>
      </c>
      <c r="GF25" s="135">
        <f t="shared" si="4"/>
        <v>0</v>
      </c>
      <c r="GG25" s="135">
        <f t="shared" si="4"/>
        <v>0</v>
      </c>
      <c r="GH25" s="135">
        <f t="shared" si="4"/>
        <v>0</v>
      </c>
      <c r="GI25" s="135">
        <f t="shared" si="4"/>
        <v>0</v>
      </c>
      <c r="GJ25" s="135">
        <f t="shared" si="4"/>
        <v>0</v>
      </c>
      <c r="GK25" s="135">
        <f t="shared" si="4"/>
        <v>0</v>
      </c>
      <c r="GL25" s="135">
        <f t="shared" si="4"/>
        <v>0</v>
      </c>
      <c r="GM25" s="135">
        <f t="shared" si="4"/>
        <v>0</v>
      </c>
      <c r="GN25" s="135">
        <f t="shared" si="4"/>
        <v>0</v>
      </c>
      <c r="GO25" s="135">
        <f t="shared" ref="GO25:IZ25" si="5">IF(ISBLANK(GO22),0,SUM(GO23,-GO24)/VLOOKUP(GO22,$B$36:$E$41,4,0))</f>
        <v>0</v>
      </c>
      <c r="GP25" s="135">
        <f t="shared" si="5"/>
        <v>0</v>
      </c>
      <c r="GQ25" s="135">
        <f t="shared" si="5"/>
        <v>0</v>
      </c>
      <c r="GR25" s="135">
        <f t="shared" si="5"/>
        <v>0</v>
      </c>
      <c r="GS25" s="135">
        <f t="shared" si="5"/>
        <v>0</v>
      </c>
      <c r="GT25" s="135">
        <f t="shared" si="5"/>
        <v>0</v>
      </c>
      <c r="GU25" s="135">
        <f t="shared" si="5"/>
        <v>0</v>
      </c>
      <c r="GV25" s="135">
        <f t="shared" si="5"/>
        <v>0</v>
      </c>
      <c r="GW25" s="135">
        <f t="shared" si="5"/>
        <v>0</v>
      </c>
      <c r="GX25" s="135">
        <f t="shared" si="5"/>
        <v>0</v>
      </c>
      <c r="GY25" s="135">
        <f t="shared" si="5"/>
        <v>0</v>
      </c>
      <c r="GZ25" s="135">
        <f t="shared" si="5"/>
        <v>0</v>
      </c>
      <c r="HA25" s="135">
        <f t="shared" si="5"/>
        <v>0</v>
      </c>
      <c r="HB25" s="135">
        <f t="shared" si="5"/>
        <v>0</v>
      </c>
      <c r="HC25" s="135">
        <f t="shared" si="5"/>
        <v>0</v>
      </c>
      <c r="HD25" s="135">
        <f t="shared" si="5"/>
        <v>0</v>
      </c>
      <c r="HE25" s="135">
        <f t="shared" si="5"/>
        <v>0</v>
      </c>
      <c r="HF25" s="135">
        <f t="shared" si="5"/>
        <v>0</v>
      </c>
      <c r="HG25" s="135">
        <f t="shared" si="5"/>
        <v>0</v>
      </c>
      <c r="HH25" s="135">
        <f t="shared" si="5"/>
        <v>0</v>
      </c>
      <c r="HI25" s="135">
        <f t="shared" si="5"/>
        <v>0</v>
      </c>
      <c r="HJ25" s="135">
        <f t="shared" si="5"/>
        <v>0</v>
      </c>
      <c r="HK25" s="135">
        <f t="shared" si="5"/>
        <v>0</v>
      </c>
      <c r="HL25" s="135">
        <f t="shared" si="5"/>
        <v>0</v>
      </c>
      <c r="HM25" s="135">
        <f t="shared" si="5"/>
        <v>0</v>
      </c>
      <c r="HN25" s="135">
        <f t="shared" si="5"/>
        <v>0</v>
      </c>
      <c r="HO25" s="135">
        <f t="shared" si="5"/>
        <v>0</v>
      </c>
      <c r="HP25" s="135">
        <f t="shared" si="5"/>
        <v>0</v>
      </c>
      <c r="HQ25" s="135">
        <f t="shared" si="5"/>
        <v>0</v>
      </c>
      <c r="HR25" s="135">
        <f t="shared" si="5"/>
        <v>0</v>
      </c>
      <c r="HS25" s="135">
        <f t="shared" si="5"/>
        <v>0</v>
      </c>
      <c r="HT25" s="135">
        <f t="shared" si="5"/>
        <v>0</v>
      </c>
      <c r="HU25" s="135">
        <f t="shared" si="5"/>
        <v>0</v>
      </c>
      <c r="HV25" s="135">
        <f t="shared" si="5"/>
        <v>0</v>
      </c>
      <c r="HW25" s="135">
        <f t="shared" si="5"/>
        <v>0</v>
      </c>
      <c r="HX25" s="135">
        <f t="shared" si="5"/>
        <v>0</v>
      </c>
      <c r="HY25" s="135">
        <f t="shared" si="5"/>
        <v>0</v>
      </c>
      <c r="HZ25" s="135">
        <f t="shared" si="5"/>
        <v>0</v>
      </c>
      <c r="IA25" s="135">
        <f t="shared" si="5"/>
        <v>0</v>
      </c>
      <c r="IB25" s="135">
        <f t="shared" si="5"/>
        <v>0</v>
      </c>
      <c r="IC25" s="135">
        <f t="shared" si="5"/>
        <v>0</v>
      </c>
      <c r="ID25" s="135">
        <f t="shared" si="5"/>
        <v>0</v>
      </c>
      <c r="IE25" s="135">
        <f t="shared" si="5"/>
        <v>0</v>
      </c>
      <c r="IF25" s="135">
        <f t="shared" si="5"/>
        <v>0</v>
      </c>
      <c r="IG25" s="135">
        <f t="shared" si="5"/>
        <v>0</v>
      </c>
      <c r="IH25" s="135">
        <f t="shared" si="5"/>
        <v>0</v>
      </c>
      <c r="II25" s="135">
        <f t="shared" si="5"/>
        <v>0</v>
      </c>
      <c r="IJ25" s="135">
        <f t="shared" si="5"/>
        <v>0</v>
      </c>
      <c r="IK25" s="135">
        <f t="shared" si="5"/>
        <v>0</v>
      </c>
      <c r="IL25" s="135">
        <f t="shared" si="5"/>
        <v>0</v>
      </c>
      <c r="IM25" s="135">
        <f t="shared" si="5"/>
        <v>0</v>
      </c>
      <c r="IN25" s="135">
        <f t="shared" si="5"/>
        <v>0</v>
      </c>
      <c r="IO25" s="135">
        <f t="shared" si="5"/>
        <v>0</v>
      </c>
      <c r="IP25" s="135">
        <f t="shared" si="5"/>
        <v>0</v>
      </c>
      <c r="IQ25" s="135">
        <f t="shared" si="5"/>
        <v>0</v>
      </c>
      <c r="IR25" s="135">
        <f t="shared" si="5"/>
        <v>0</v>
      </c>
      <c r="IS25" s="135">
        <f t="shared" si="5"/>
        <v>0</v>
      </c>
      <c r="IT25" s="135">
        <f t="shared" si="5"/>
        <v>0</v>
      </c>
      <c r="IU25" s="135">
        <f t="shared" si="5"/>
        <v>0</v>
      </c>
      <c r="IV25" s="135">
        <f t="shared" si="5"/>
        <v>0</v>
      </c>
      <c r="IW25" s="135">
        <f t="shared" si="5"/>
        <v>0</v>
      </c>
      <c r="IX25" s="135">
        <f t="shared" si="5"/>
        <v>0</v>
      </c>
      <c r="IY25" s="135">
        <f t="shared" si="5"/>
        <v>0</v>
      </c>
      <c r="IZ25" s="135">
        <f t="shared" si="5"/>
        <v>0</v>
      </c>
    </row>
    <row r="26" spans="1:260" s="122" customFormat="1" ht="12.95" customHeight="1" x14ac:dyDescent="0.25">
      <c r="A26" s="215">
        <v>331</v>
      </c>
      <c r="B26" s="125"/>
      <c r="C26" s="120" t="s">
        <v>241</v>
      </c>
      <c r="D26" s="185">
        <f>IF(ISBLANK(D22),0,(D19*VLOOKUP(D22,$B$36:$D$41,3,0)))</f>
        <v>43000</v>
      </c>
      <c r="E26" s="185">
        <f t="shared" ref="E26:BP26" si="6">IF(ISBLANK(E22),0,(E19*VLOOKUP(E22,$B$36:$D$41,3,0)))</f>
        <v>107500</v>
      </c>
      <c r="F26" s="185">
        <f t="shared" si="6"/>
        <v>23000</v>
      </c>
      <c r="G26" s="185">
        <f t="shared" si="6"/>
        <v>107500</v>
      </c>
      <c r="H26" s="185">
        <f t="shared" si="6"/>
        <v>64500</v>
      </c>
      <c r="I26" s="185">
        <f t="shared" si="6"/>
        <v>64500</v>
      </c>
      <c r="J26" s="185">
        <f t="shared" si="6"/>
        <v>43000</v>
      </c>
      <c r="K26" s="185">
        <f t="shared" si="6"/>
        <v>43000</v>
      </c>
      <c r="L26" s="185">
        <f t="shared" si="6"/>
        <v>32250</v>
      </c>
      <c r="M26" s="185">
        <f t="shared" si="6"/>
        <v>32250</v>
      </c>
      <c r="N26" s="185">
        <f t="shared" si="6"/>
        <v>10000</v>
      </c>
      <c r="O26" s="185">
        <f t="shared" si="6"/>
        <v>13800</v>
      </c>
      <c r="P26" s="185">
        <f t="shared" si="6"/>
        <v>53750</v>
      </c>
      <c r="Q26" s="185">
        <f t="shared" si="6"/>
        <v>64500</v>
      </c>
      <c r="R26" s="185">
        <f t="shared" si="6"/>
        <v>64500</v>
      </c>
      <c r="S26" s="185">
        <f t="shared" si="6"/>
        <v>96750</v>
      </c>
      <c r="T26" s="185">
        <f t="shared" si="6"/>
        <v>64500</v>
      </c>
      <c r="U26" s="185">
        <f t="shared" si="6"/>
        <v>43000</v>
      </c>
      <c r="V26" s="185">
        <f t="shared" si="6"/>
        <v>13800</v>
      </c>
      <c r="W26" s="185">
        <f t="shared" si="6"/>
        <v>12500</v>
      </c>
      <c r="X26" s="185">
        <f t="shared" si="6"/>
        <v>12500</v>
      </c>
      <c r="Y26" s="185">
        <f t="shared" si="6"/>
        <v>43000</v>
      </c>
      <c r="Z26" s="185">
        <f t="shared" si="6"/>
        <v>32250</v>
      </c>
      <c r="AA26" s="185">
        <f t="shared" si="6"/>
        <v>23000</v>
      </c>
      <c r="AB26" s="185">
        <f t="shared" si="6"/>
        <v>23000</v>
      </c>
      <c r="AC26" s="185">
        <f t="shared" si="6"/>
        <v>64500</v>
      </c>
      <c r="AD26" s="185">
        <f t="shared" si="6"/>
        <v>32250</v>
      </c>
      <c r="AE26" s="185">
        <f t="shared" si="6"/>
        <v>13800</v>
      </c>
      <c r="AF26" s="185">
        <f t="shared" si="6"/>
        <v>25800</v>
      </c>
      <c r="AG26" s="185">
        <f t="shared" si="6"/>
        <v>12500</v>
      </c>
      <c r="AH26" s="185">
        <f t="shared" si="6"/>
        <v>28595</v>
      </c>
      <c r="AI26" s="185">
        <f t="shared" si="6"/>
        <v>43000</v>
      </c>
      <c r="AJ26" s="185">
        <f t="shared" si="6"/>
        <v>23000</v>
      </c>
      <c r="AK26" s="185">
        <f t="shared" si="6"/>
        <v>32250</v>
      </c>
      <c r="AL26" s="185">
        <f t="shared" si="6"/>
        <v>23000</v>
      </c>
      <c r="AM26" s="185">
        <f t="shared" si="6"/>
        <v>23000</v>
      </c>
      <c r="AN26" s="185">
        <f t="shared" si="6"/>
        <v>43000</v>
      </c>
      <c r="AO26" s="185">
        <f t="shared" si="6"/>
        <v>32250</v>
      </c>
      <c r="AP26" s="185">
        <f t="shared" si="6"/>
        <v>43000</v>
      </c>
      <c r="AQ26" s="185">
        <f t="shared" si="6"/>
        <v>200000</v>
      </c>
      <c r="AR26" s="185">
        <f t="shared" si="6"/>
        <v>300000</v>
      </c>
      <c r="AS26" s="185">
        <f t="shared" si="6"/>
        <v>125000</v>
      </c>
      <c r="AT26" s="185">
        <f t="shared" si="6"/>
        <v>0</v>
      </c>
      <c r="AU26" s="185">
        <f t="shared" si="6"/>
        <v>0</v>
      </c>
      <c r="AV26" s="185">
        <f t="shared" si="6"/>
        <v>0</v>
      </c>
      <c r="AW26" s="185">
        <f t="shared" si="6"/>
        <v>0</v>
      </c>
      <c r="AX26" s="185">
        <f t="shared" si="6"/>
        <v>0</v>
      </c>
      <c r="AY26" s="185">
        <f t="shared" si="6"/>
        <v>0</v>
      </c>
      <c r="AZ26" s="185">
        <f t="shared" si="6"/>
        <v>0</v>
      </c>
      <c r="BA26" s="185">
        <f t="shared" si="6"/>
        <v>0</v>
      </c>
      <c r="BB26" s="185">
        <f t="shared" si="6"/>
        <v>0</v>
      </c>
      <c r="BC26" s="185">
        <f t="shared" si="6"/>
        <v>0</v>
      </c>
      <c r="BD26" s="185">
        <f t="shared" si="6"/>
        <v>0</v>
      </c>
      <c r="BE26" s="185">
        <f t="shared" si="6"/>
        <v>0</v>
      </c>
      <c r="BF26" s="185">
        <f t="shared" si="6"/>
        <v>0</v>
      </c>
      <c r="BG26" s="185">
        <f t="shared" si="6"/>
        <v>0</v>
      </c>
      <c r="BH26" s="185">
        <f t="shared" si="6"/>
        <v>0</v>
      </c>
      <c r="BI26" s="185">
        <f t="shared" si="6"/>
        <v>0</v>
      </c>
      <c r="BJ26" s="185">
        <f t="shared" si="6"/>
        <v>0</v>
      </c>
      <c r="BK26" s="185">
        <f t="shared" si="6"/>
        <v>0</v>
      </c>
      <c r="BL26" s="185">
        <f t="shared" si="6"/>
        <v>0</v>
      </c>
      <c r="BM26" s="185">
        <f t="shared" si="6"/>
        <v>0</v>
      </c>
      <c r="BN26" s="185">
        <f t="shared" si="6"/>
        <v>0</v>
      </c>
      <c r="BO26" s="185">
        <f t="shared" si="6"/>
        <v>0</v>
      </c>
      <c r="BP26" s="185">
        <f t="shared" si="6"/>
        <v>0</v>
      </c>
      <c r="BQ26" s="185">
        <f t="shared" ref="BQ26:EB26" si="7">IF(ISBLANK(BQ22),0,(BQ19*VLOOKUP(BQ22,$B$36:$D$41,3,0)))</f>
        <v>0</v>
      </c>
      <c r="BR26" s="185">
        <f t="shared" si="7"/>
        <v>0</v>
      </c>
      <c r="BS26" s="185">
        <f t="shared" si="7"/>
        <v>0</v>
      </c>
      <c r="BT26" s="185">
        <f t="shared" si="7"/>
        <v>0</v>
      </c>
      <c r="BU26" s="185">
        <f t="shared" si="7"/>
        <v>0</v>
      </c>
      <c r="BV26" s="185">
        <f t="shared" si="7"/>
        <v>0</v>
      </c>
      <c r="BW26" s="185">
        <f t="shared" si="7"/>
        <v>0</v>
      </c>
      <c r="BX26" s="185">
        <f t="shared" si="7"/>
        <v>0</v>
      </c>
      <c r="BY26" s="185">
        <f t="shared" si="7"/>
        <v>0</v>
      </c>
      <c r="BZ26" s="185">
        <f t="shared" si="7"/>
        <v>0</v>
      </c>
      <c r="CA26" s="185">
        <f t="shared" si="7"/>
        <v>0</v>
      </c>
      <c r="CB26" s="185">
        <f t="shared" si="7"/>
        <v>0</v>
      </c>
      <c r="CC26" s="185">
        <f t="shared" si="7"/>
        <v>0</v>
      </c>
      <c r="CD26" s="185">
        <f t="shared" si="7"/>
        <v>0</v>
      </c>
      <c r="CE26" s="185">
        <f t="shared" si="7"/>
        <v>0</v>
      </c>
      <c r="CF26" s="185">
        <f t="shared" si="7"/>
        <v>0</v>
      </c>
      <c r="CG26" s="185">
        <f t="shared" si="7"/>
        <v>0</v>
      </c>
      <c r="CH26" s="185">
        <f t="shared" si="7"/>
        <v>0</v>
      </c>
      <c r="CI26" s="185">
        <f t="shared" si="7"/>
        <v>0</v>
      </c>
      <c r="CJ26" s="185">
        <f t="shared" si="7"/>
        <v>0</v>
      </c>
      <c r="CK26" s="185">
        <f t="shared" si="7"/>
        <v>0</v>
      </c>
      <c r="CL26" s="185">
        <f t="shared" si="7"/>
        <v>0</v>
      </c>
      <c r="CM26" s="185">
        <f t="shared" si="7"/>
        <v>0</v>
      </c>
      <c r="CN26" s="185">
        <f t="shared" si="7"/>
        <v>0</v>
      </c>
      <c r="CO26" s="185">
        <f t="shared" si="7"/>
        <v>0</v>
      </c>
      <c r="CP26" s="185">
        <f t="shared" si="7"/>
        <v>0</v>
      </c>
      <c r="CQ26" s="185">
        <f t="shared" si="7"/>
        <v>0</v>
      </c>
      <c r="CR26" s="185">
        <f t="shared" si="7"/>
        <v>0</v>
      </c>
      <c r="CS26" s="185">
        <f t="shared" si="7"/>
        <v>0</v>
      </c>
      <c r="CT26" s="185">
        <f t="shared" si="7"/>
        <v>0</v>
      </c>
      <c r="CU26" s="185">
        <f t="shared" si="7"/>
        <v>0</v>
      </c>
      <c r="CV26" s="185">
        <f t="shared" si="7"/>
        <v>0</v>
      </c>
      <c r="CW26" s="185">
        <f t="shared" si="7"/>
        <v>0</v>
      </c>
      <c r="CX26" s="185">
        <f t="shared" si="7"/>
        <v>0</v>
      </c>
      <c r="CY26" s="185">
        <f t="shared" si="7"/>
        <v>0</v>
      </c>
      <c r="CZ26" s="185">
        <f t="shared" si="7"/>
        <v>0</v>
      </c>
      <c r="DA26" s="185">
        <f t="shared" si="7"/>
        <v>0</v>
      </c>
      <c r="DB26" s="185">
        <f t="shared" si="7"/>
        <v>0</v>
      </c>
      <c r="DC26" s="185">
        <f t="shared" si="7"/>
        <v>0</v>
      </c>
      <c r="DD26" s="185">
        <f t="shared" si="7"/>
        <v>0</v>
      </c>
      <c r="DE26" s="185">
        <f t="shared" si="7"/>
        <v>0</v>
      </c>
      <c r="DF26" s="185">
        <f t="shared" si="7"/>
        <v>0</v>
      </c>
      <c r="DG26" s="185">
        <f t="shared" si="7"/>
        <v>0</v>
      </c>
      <c r="DH26" s="185">
        <f t="shared" si="7"/>
        <v>0</v>
      </c>
      <c r="DI26" s="185">
        <f t="shared" si="7"/>
        <v>0</v>
      </c>
      <c r="DJ26" s="185">
        <f t="shared" si="7"/>
        <v>0</v>
      </c>
      <c r="DK26" s="185">
        <f t="shared" si="7"/>
        <v>0</v>
      </c>
      <c r="DL26" s="185">
        <f t="shared" si="7"/>
        <v>0</v>
      </c>
      <c r="DM26" s="185">
        <f t="shared" si="7"/>
        <v>0</v>
      </c>
      <c r="DN26" s="185">
        <f t="shared" si="7"/>
        <v>0</v>
      </c>
      <c r="DO26" s="185">
        <f t="shared" si="7"/>
        <v>0</v>
      </c>
      <c r="DP26" s="185">
        <f t="shared" si="7"/>
        <v>0</v>
      </c>
      <c r="DQ26" s="185">
        <f t="shared" si="7"/>
        <v>0</v>
      </c>
      <c r="DR26" s="185">
        <f t="shared" si="7"/>
        <v>0</v>
      </c>
      <c r="DS26" s="185">
        <f t="shared" si="7"/>
        <v>0</v>
      </c>
      <c r="DT26" s="185">
        <f t="shared" si="7"/>
        <v>0</v>
      </c>
      <c r="DU26" s="185">
        <f t="shared" si="7"/>
        <v>0</v>
      </c>
      <c r="DV26" s="185">
        <f t="shared" si="7"/>
        <v>0</v>
      </c>
      <c r="DW26" s="185">
        <f t="shared" si="7"/>
        <v>0</v>
      </c>
      <c r="DX26" s="185">
        <f t="shared" si="7"/>
        <v>0</v>
      </c>
      <c r="DY26" s="185">
        <f t="shared" si="7"/>
        <v>0</v>
      </c>
      <c r="DZ26" s="185">
        <f t="shared" si="7"/>
        <v>0</v>
      </c>
      <c r="EA26" s="185">
        <f t="shared" si="7"/>
        <v>0</v>
      </c>
      <c r="EB26" s="185">
        <f t="shared" si="7"/>
        <v>0</v>
      </c>
      <c r="EC26" s="185">
        <f t="shared" ref="EC26:GA26" si="8">IF(ISBLANK(EC22),0,(EC19*VLOOKUP(EC22,$B$36:$D$41,3,0)))</f>
        <v>0</v>
      </c>
      <c r="ED26" s="185">
        <f t="shared" si="8"/>
        <v>0</v>
      </c>
      <c r="EE26" s="185">
        <f t="shared" si="8"/>
        <v>0</v>
      </c>
      <c r="EF26" s="185">
        <f t="shared" si="8"/>
        <v>0</v>
      </c>
      <c r="EG26" s="185">
        <f t="shared" si="8"/>
        <v>0</v>
      </c>
      <c r="EH26" s="185">
        <f t="shared" si="8"/>
        <v>0</v>
      </c>
      <c r="EI26" s="185">
        <f t="shared" si="8"/>
        <v>0</v>
      </c>
      <c r="EJ26" s="185">
        <f t="shared" si="8"/>
        <v>0</v>
      </c>
      <c r="EK26" s="185">
        <f t="shared" si="8"/>
        <v>0</v>
      </c>
      <c r="EL26" s="185">
        <f t="shared" si="8"/>
        <v>0</v>
      </c>
      <c r="EM26" s="185">
        <f t="shared" si="8"/>
        <v>0</v>
      </c>
      <c r="EN26" s="185">
        <f t="shared" si="8"/>
        <v>0</v>
      </c>
      <c r="EO26" s="185">
        <f t="shared" si="8"/>
        <v>0</v>
      </c>
      <c r="EP26" s="185">
        <f t="shared" si="8"/>
        <v>0</v>
      </c>
      <c r="EQ26" s="185">
        <f t="shared" si="8"/>
        <v>0</v>
      </c>
      <c r="ER26" s="185">
        <f t="shared" si="8"/>
        <v>0</v>
      </c>
      <c r="ES26" s="185">
        <f t="shared" si="8"/>
        <v>0</v>
      </c>
      <c r="ET26" s="185">
        <f t="shared" si="8"/>
        <v>0</v>
      </c>
      <c r="EU26" s="185">
        <f t="shared" si="8"/>
        <v>0</v>
      </c>
      <c r="EV26" s="185">
        <f t="shared" si="8"/>
        <v>0</v>
      </c>
      <c r="EW26" s="185">
        <f t="shared" si="8"/>
        <v>0</v>
      </c>
      <c r="EX26" s="185">
        <f t="shared" si="8"/>
        <v>0</v>
      </c>
      <c r="EY26" s="185">
        <f t="shared" si="8"/>
        <v>0</v>
      </c>
      <c r="EZ26" s="185">
        <f t="shared" si="8"/>
        <v>0</v>
      </c>
      <c r="FA26" s="185">
        <f t="shared" si="8"/>
        <v>0</v>
      </c>
      <c r="FB26" s="185">
        <f t="shared" si="8"/>
        <v>0</v>
      </c>
      <c r="FC26" s="185">
        <f t="shared" si="8"/>
        <v>0</v>
      </c>
      <c r="FD26" s="185">
        <f t="shared" si="8"/>
        <v>0</v>
      </c>
      <c r="FE26" s="185">
        <f t="shared" si="8"/>
        <v>0</v>
      </c>
      <c r="FF26" s="185">
        <f t="shared" si="8"/>
        <v>0</v>
      </c>
      <c r="FG26" s="185">
        <f t="shared" si="8"/>
        <v>0</v>
      </c>
      <c r="FH26" s="185">
        <f t="shared" si="8"/>
        <v>0</v>
      </c>
      <c r="FI26" s="185">
        <f t="shared" si="8"/>
        <v>0</v>
      </c>
      <c r="FJ26" s="185">
        <f t="shared" si="8"/>
        <v>0</v>
      </c>
      <c r="FK26" s="185">
        <f t="shared" si="8"/>
        <v>0</v>
      </c>
      <c r="FL26" s="185">
        <f t="shared" si="8"/>
        <v>0</v>
      </c>
      <c r="FM26" s="185">
        <f t="shared" si="8"/>
        <v>0</v>
      </c>
      <c r="FN26" s="185">
        <f t="shared" si="8"/>
        <v>0</v>
      </c>
      <c r="FO26" s="185">
        <f t="shared" si="8"/>
        <v>0</v>
      </c>
      <c r="FP26" s="185">
        <f t="shared" si="8"/>
        <v>0</v>
      </c>
      <c r="FQ26" s="185">
        <f t="shared" si="8"/>
        <v>0</v>
      </c>
      <c r="FR26" s="185">
        <f t="shared" si="8"/>
        <v>0</v>
      </c>
      <c r="FS26" s="185">
        <f t="shared" si="8"/>
        <v>0</v>
      </c>
      <c r="FT26" s="185">
        <f t="shared" si="8"/>
        <v>0</v>
      </c>
      <c r="FU26" s="185">
        <f t="shared" si="8"/>
        <v>0</v>
      </c>
      <c r="FV26" s="185">
        <f t="shared" si="8"/>
        <v>0</v>
      </c>
      <c r="FW26" s="185">
        <f t="shared" si="8"/>
        <v>0</v>
      </c>
      <c r="FX26" s="185">
        <f t="shared" si="8"/>
        <v>0</v>
      </c>
      <c r="FY26" s="185">
        <f t="shared" si="8"/>
        <v>0</v>
      </c>
      <c r="FZ26" s="185">
        <f t="shared" si="8"/>
        <v>0</v>
      </c>
      <c r="GA26" s="185">
        <f t="shared" si="8"/>
        <v>0</v>
      </c>
      <c r="GB26" s="185">
        <f t="shared" ref="GB26:IM26" si="9">IF(ISBLANK(GB22),0,(GB19*VLOOKUP(GB22,$B$36:$D$41,3,0)))</f>
        <v>0</v>
      </c>
      <c r="GC26" s="185">
        <f t="shared" si="9"/>
        <v>0</v>
      </c>
      <c r="GD26" s="185">
        <f t="shared" si="9"/>
        <v>0</v>
      </c>
      <c r="GE26" s="185">
        <f t="shared" si="9"/>
        <v>0</v>
      </c>
      <c r="GF26" s="185">
        <f t="shared" si="9"/>
        <v>0</v>
      </c>
      <c r="GG26" s="185">
        <f t="shared" si="9"/>
        <v>0</v>
      </c>
      <c r="GH26" s="185">
        <f t="shared" si="9"/>
        <v>0</v>
      </c>
      <c r="GI26" s="185">
        <f t="shared" si="9"/>
        <v>0</v>
      </c>
      <c r="GJ26" s="185">
        <f t="shared" si="9"/>
        <v>0</v>
      </c>
      <c r="GK26" s="185">
        <f t="shared" si="9"/>
        <v>0</v>
      </c>
      <c r="GL26" s="185">
        <f t="shared" si="9"/>
        <v>0</v>
      </c>
      <c r="GM26" s="185">
        <f t="shared" si="9"/>
        <v>0</v>
      </c>
      <c r="GN26" s="185">
        <f t="shared" si="9"/>
        <v>0</v>
      </c>
      <c r="GO26" s="185">
        <f t="shared" si="9"/>
        <v>0</v>
      </c>
      <c r="GP26" s="185">
        <f t="shared" si="9"/>
        <v>0</v>
      </c>
      <c r="GQ26" s="185">
        <f t="shared" si="9"/>
        <v>0</v>
      </c>
      <c r="GR26" s="185">
        <f t="shared" si="9"/>
        <v>0</v>
      </c>
      <c r="GS26" s="185">
        <f t="shared" si="9"/>
        <v>0</v>
      </c>
      <c r="GT26" s="185">
        <f t="shared" si="9"/>
        <v>0</v>
      </c>
      <c r="GU26" s="185">
        <f t="shared" si="9"/>
        <v>0</v>
      </c>
      <c r="GV26" s="185">
        <f t="shared" si="9"/>
        <v>0</v>
      </c>
      <c r="GW26" s="185">
        <f t="shared" si="9"/>
        <v>0</v>
      </c>
      <c r="GX26" s="185">
        <f t="shared" si="9"/>
        <v>0</v>
      </c>
      <c r="GY26" s="185">
        <f t="shared" si="9"/>
        <v>0</v>
      </c>
      <c r="GZ26" s="185">
        <f t="shared" si="9"/>
        <v>0</v>
      </c>
      <c r="HA26" s="185">
        <f t="shared" si="9"/>
        <v>0</v>
      </c>
      <c r="HB26" s="185">
        <f t="shared" si="9"/>
        <v>0</v>
      </c>
      <c r="HC26" s="185">
        <f t="shared" si="9"/>
        <v>0</v>
      </c>
      <c r="HD26" s="185">
        <f t="shared" si="9"/>
        <v>0</v>
      </c>
      <c r="HE26" s="185">
        <f t="shared" si="9"/>
        <v>0</v>
      </c>
      <c r="HF26" s="185">
        <f t="shared" si="9"/>
        <v>0</v>
      </c>
      <c r="HG26" s="185">
        <f t="shared" si="9"/>
        <v>0</v>
      </c>
      <c r="HH26" s="185">
        <f t="shared" si="9"/>
        <v>0</v>
      </c>
      <c r="HI26" s="185">
        <f t="shared" si="9"/>
        <v>0</v>
      </c>
      <c r="HJ26" s="185">
        <f t="shared" si="9"/>
        <v>0</v>
      </c>
      <c r="HK26" s="185">
        <f t="shared" si="9"/>
        <v>0</v>
      </c>
      <c r="HL26" s="185">
        <f t="shared" si="9"/>
        <v>0</v>
      </c>
      <c r="HM26" s="185">
        <f t="shared" si="9"/>
        <v>0</v>
      </c>
      <c r="HN26" s="185">
        <f t="shared" si="9"/>
        <v>0</v>
      </c>
      <c r="HO26" s="185">
        <f t="shared" si="9"/>
        <v>0</v>
      </c>
      <c r="HP26" s="185">
        <f t="shared" si="9"/>
        <v>0</v>
      </c>
      <c r="HQ26" s="185">
        <f t="shared" si="9"/>
        <v>0</v>
      </c>
      <c r="HR26" s="185">
        <f t="shared" si="9"/>
        <v>0</v>
      </c>
      <c r="HS26" s="185">
        <f t="shared" si="9"/>
        <v>0</v>
      </c>
      <c r="HT26" s="185">
        <f t="shared" si="9"/>
        <v>0</v>
      </c>
      <c r="HU26" s="185">
        <f t="shared" si="9"/>
        <v>0</v>
      </c>
      <c r="HV26" s="185">
        <f t="shared" si="9"/>
        <v>0</v>
      </c>
      <c r="HW26" s="185">
        <f t="shared" si="9"/>
        <v>0</v>
      </c>
      <c r="HX26" s="185">
        <f t="shared" si="9"/>
        <v>0</v>
      </c>
      <c r="HY26" s="185">
        <f t="shared" si="9"/>
        <v>0</v>
      </c>
      <c r="HZ26" s="185">
        <f t="shared" si="9"/>
        <v>0</v>
      </c>
      <c r="IA26" s="185">
        <f t="shared" si="9"/>
        <v>0</v>
      </c>
      <c r="IB26" s="185">
        <f t="shared" si="9"/>
        <v>0</v>
      </c>
      <c r="IC26" s="185">
        <f t="shared" si="9"/>
        <v>0</v>
      </c>
      <c r="ID26" s="185">
        <f t="shared" si="9"/>
        <v>0</v>
      </c>
      <c r="IE26" s="185">
        <f t="shared" si="9"/>
        <v>0</v>
      </c>
      <c r="IF26" s="185">
        <f t="shared" si="9"/>
        <v>0</v>
      </c>
      <c r="IG26" s="185">
        <f t="shared" si="9"/>
        <v>0</v>
      </c>
      <c r="IH26" s="185">
        <f t="shared" si="9"/>
        <v>0</v>
      </c>
      <c r="II26" s="185">
        <f t="shared" si="9"/>
        <v>0</v>
      </c>
      <c r="IJ26" s="185">
        <f t="shared" si="9"/>
        <v>0</v>
      </c>
      <c r="IK26" s="185">
        <f t="shared" si="9"/>
        <v>0</v>
      </c>
      <c r="IL26" s="185">
        <f t="shared" si="9"/>
        <v>0</v>
      </c>
      <c r="IM26" s="185">
        <f t="shared" si="9"/>
        <v>0</v>
      </c>
      <c r="IN26" s="185">
        <f t="shared" ref="IN26:IZ26" si="10">IF(ISBLANK(IN22),0,(IN19*VLOOKUP(IN22,$B$36:$D$41,3,0)))</f>
        <v>0</v>
      </c>
      <c r="IO26" s="185">
        <f t="shared" si="10"/>
        <v>0</v>
      </c>
      <c r="IP26" s="185">
        <f t="shared" si="10"/>
        <v>0</v>
      </c>
      <c r="IQ26" s="185">
        <f t="shared" si="10"/>
        <v>0</v>
      </c>
      <c r="IR26" s="185">
        <f t="shared" si="10"/>
        <v>0</v>
      </c>
      <c r="IS26" s="185">
        <f t="shared" si="10"/>
        <v>0</v>
      </c>
      <c r="IT26" s="185">
        <f t="shared" si="10"/>
        <v>0</v>
      </c>
      <c r="IU26" s="185">
        <f t="shared" si="10"/>
        <v>0</v>
      </c>
      <c r="IV26" s="185">
        <f t="shared" si="10"/>
        <v>0</v>
      </c>
      <c r="IW26" s="185">
        <f t="shared" si="10"/>
        <v>0</v>
      </c>
      <c r="IX26" s="185">
        <f t="shared" si="10"/>
        <v>0</v>
      </c>
      <c r="IY26" s="185">
        <f t="shared" si="10"/>
        <v>0</v>
      </c>
      <c r="IZ26" s="185">
        <f t="shared" si="10"/>
        <v>0</v>
      </c>
    </row>
    <row r="27" spans="1:260" s="122" customFormat="1" ht="12.95" customHeight="1" x14ac:dyDescent="0.25">
      <c r="A27" s="215">
        <v>332</v>
      </c>
      <c r="B27" s="125"/>
      <c r="C27" s="120" t="s">
        <v>242</v>
      </c>
      <c r="D27" s="185">
        <f>IF(ISBLANK(D22),0,(D18*1000*VLOOKUP(D22,$B$36:$D$41,2,0)))</f>
        <v>34000</v>
      </c>
      <c r="E27" s="185">
        <f t="shared" ref="E27:BP27" si="11">IF(ISBLANK(E22),0,(E18*1000*VLOOKUP(E22,$B$36:$D$41,2,0)))</f>
        <v>85000</v>
      </c>
      <c r="F27" s="185">
        <f t="shared" si="11"/>
        <v>15000</v>
      </c>
      <c r="G27" s="185">
        <f t="shared" si="11"/>
        <v>85000</v>
      </c>
      <c r="H27" s="185">
        <f t="shared" si="11"/>
        <v>51000</v>
      </c>
      <c r="I27" s="185">
        <f t="shared" si="11"/>
        <v>51000</v>
      </c>
      <c r="J27" s="185">
        <f t="shared" si="11"/>
        <v>34000</v>
      </c>
      <c r="K27" s="185">
        <f t="shared" si="11"/>
        <v>34000</v>
      </c>
      <c r="L27" s="185">
        <f t="shared" si="11"/>
        <v>25500</v>
      </c>
      <c r="M27" s="185">
        <f t="shared" si="11"/>
        <v>30000</v>
      </c>
      <c r="N27" s="185">
        <f t="shared" si="11"/>
        <v>8000</v>
      </c>
      <c r="O27" s="185">
        <f t="shared" si="11"/>
        <v>12000</v>
      </c>
      <c r="P27" s="185">
        <f t="shared" si="11"/>
        <v>42500</v>
      </c>
      <c r="Q27" s="185">
        <f t="shared" si="11"/>
        <v>50000</v>
      </c>
      <c r="R27" s="185">
        <f t="shared" si="11"/>
        <v>51000</v>
      </c>
      <c r="S27" s="185">
        <f t="shared" si="11"/>
        <v>76500</v>
      </c>
      <c r="T27" s="185">
        <f t="shared" si="11"/>
        <v>51000</v>
      </c>
      <c r="U27" s="185">
        <f t="shared" si="11"/>
        <v>34000</v>
      </c>
      <c r="V27" s="185">
        <f t="shared" si="11"/>
        <v>10200</v>
      </c>
      <c r="W27" s="185">
        <f t="shared" si="11"/>
        <v>10000</v>
      </c>
      <c r="X27" s="185">
        <f t="shared" si="11"/>
        <v>10000</v>
      </c>
      <c r="Y27" s="185">
        <f t="shared" si="11"/>
        <v>31000</v>
      </c>
      <c r="Z27" s="185">
        <f t="shared" si="11"/>
        <v>25500</v>
      </c>
      <c r="AA27" s="185">
        <f t="shared" si="11"/>
        <v>15000</v>
      </c>
      <c r="AB27" s="185">
        <f t="shared" si="11"/>
        <v>15000</v>
      </c>
      <c r="AC27" s="185">
        <f t="shared" si="11"/>
        <v>51000</v>
      </c>
      <c r="AD27" s="185">
        <f t="shared" si="11"/>
        <v>25500</v>
      </c>
      <c r="AE27" s="185">
        <f t="shared" si="11"/>
        <v>12000</v>
      </c>
      <c r="AF27" s="185">
        <f t="shared" si="11"/>
        <v>24000</v>
      </c>
      <c r="AG27" s="185">
        <f t="shared" si="11"/>
        <v>10000</v>
      </c>
      <c r="AH27" s="185">
        <f t="shared" si="11"/>
        <v>26500</v>
      </c>
      <c r="AI27" s="185">
        <f t="shared" si="11"/>
        <v>34000</v>
      </c>
      <c r="AJ27" s="185">
        <f t="shared" si="11"/>
        <v>17000</v>
      </c>
      <c r="AK27" s="185">
        <f t="shared" si="11"/>
        <v>25500</v>
      </c>
      <c r="AL27" s="185">
        <f t="shared" si="11"/>
        <v>17000</v>
      </c>
      <c r="AM27" s="185">
        <f t="shared" si="11"/>
        <v>16600</v>
      </c>
      <c r="AN27" s="185">
        <f t="shared" si="11"/>
        <v>35000</v>
      </c>
      <c r="AO27" s="185">
        <f t="shared" si="11"/>
        <v>30000</v>
      </c>
      <c r="AP27" s="185">
        <f t="shared" si="11"/>
        <v>40000</v>
      </c>
      <c r="AQ27" s="185">
        <f t="shared" si="11"/>
        <v>160000</v>
      </c>
      <c r="AR27" s="185">
        <f t="shared" si="11"/>
        <v>240000</v>
      </c>
      <c r="AS27" s="185">
        <f t="shared" si="11"/>
        <v>100000</v>
      </c>
      <c r="AT27" s="185">
        <f t="shared" si="11"/>
        <v>0</v>
      </c>
      <c r="AU27" s="185">
        <f t="shared" si="11"/>
        <v>0</v>
      </c>
      <c r="AV27" s="185">
        <f t="shared" si="11"/>
        <v>0</v>
      </c>
      <c r="AW27" s="185">
        <f t="shared" si="11"/>
        <v>0</v>
      </c>
      <c r="AX27" s="185">
        <f t="shared" si="11"/>
        <v>0</v>
      </c>
      <c r="AY27" s="185">
        <f t="shared" si="11"/>
        <v>0</v>
      </c>
      <c r="AZ27" s="185">
        <f t="shared" si="11"/>
        <v>0</v>
      </c>
      <c r="BA27" s="185">
        <f t="shared" si="11"/>
        <v>0</v>
      </c>
      <c r="BB27" s="185">
        <f t="shared" si="11"/>
        <v>0</v>
      </c>
      <c r="BC27" s="185">
        <f t="shared" si="11"/>
        <v>0</v>
      </c>
      <c r="BD27" s="185">
        <f t="shared" si="11"/>
        <v>0</v>
      </c>
      <c r="BE27" s="185">
        <f t="shared" si="11"/>
        <v>0</v>
      </c>
      <c r="BF27" s="185">
        <f t="shared" si="11"/>
        <v>0</v>
      </c>
      <c r="BG27" s="185">
        <f t="shared" si="11"/>
        <v>0</v>
      </c>
      <c r="BH27" s="185">
        <f t="shared" si="11"/>
        <v>0</v>
      </c>
      <c r="BI27" s="185">
        <f t="shared" si="11"/>
        <v>0</v>
      </c>
      <c r="BJ27" s="185">
        <f t="shared" si="11"/>
        <v>0</v>
      </c>
      <c r="BK27" s="185">
        <f t="shared" si="11"/>
        <v>0</v>
      </c>
      <c r="BL27" s="185">
        <f t="shared" si="11"/>
        <v>0</v>
      </c>
      <c r="BM27" s="185">
        <f t="shared" si="11"/>
        <v>0</v>
      </c>
      <c r="BN27" s="185">
        <f t="shared" si="11"/>
        <v>0</v>
      </c>
      <c r="BO27" s="185">
        <f t="shared" si="11"/>
        <v>0</v>
      </c>
      <c r="BP27" s="185">
        <f t="shared" si="11"/>
        <v>0</v>
      </c>
      <c r="BQ27" s="185">
        <f t="shared" ref="BQ27:EB27" si="12">IF(ISBLANK(BQ22),0,(BQ18*1000*VLOOKUP(BQ22,$B$36:$D$41,2,0)))</f>
        <v>0</v>
      </c>
      <c r="BR27" s="185">
        <f t="shared" si="12"/>
        <v>0</v>
      </c>
      <c r="BS27" s="185">
        <f t="shared" si="12"/>
        <v>0</v>
      </c>
      <c r="BT27" s="185">
        <f t="shared" si="12"/>
        <v>0</v>
      </c>
      <c r="BU27" s="185">
        <f t="shared" si="12"/>
        <v>0</v>
      </c>
      <c r="BV27" s="185">
        <f t="shared" si="12"/>
        <v>0</v>
      </c>
      <c r="BW27" s="185">
        <f t="shared" si="12"/>
        <v>0</v>
      </c>
      <c r="BX27" s="185">
        <f t="shared" si="12"/>
        <v>0</v>
      </c>
      <c r="BY27" s="185">
        <f t="shared" si="12"/>
        <v>0</v>
      </c>
      <c r="BZ27" s="185">
        <f t="shared" si="12"/>
        <v>0</v>
      </c>
      <c r="CA27" s="185">
        <f t="shared" si="12"/>
        <v>0</v>
      </c>
      <c r="CB27" s="185">
        <f t="shared" si="12"/>
        <v>0</v>
      </c>
      <c r="CC27" s="185">
        <f t="shared" si="12"/>
        <v>0</v>
      </c>
      <c r="CD27" s="185">
        <f t="shared" si="12"/>
        <v>0</v>
      </c>
      <c r="CE27" s="185">
        <f t="shared" si="12"/>
        <v>0</v>
      </c>
      <c r="CF27" s="185">
        <f t="shared" si="12"/>
        <v>0</v>
      </c>
      <c r="CG27" s="185">
        <f t="shared" si="12"/>
        <v>0</v>
      </c>
      <c r="CH27" s="185">
        <f t="shared" si="12"/>
        <v>0</v>
      </c>
      <c r="CI27" s="185">
        <f t="shared" si="12"/>
        <v>0</v>
      </c>
      <c r="CJ27" s="185">
        <f t="shared" si="12"/>
        <v>0</v>
      </c>
      <c r="CK27" s="185">
        <f t="shared" si="12"/>
        <v>0</v>
      </c>
      <c r="CL27" s="185">
        <f t="shared" si="12"/>
        <v>0</v>
      </c>
      <c r="CM27" s="185">
        <f t="shared" si="12"/>
        <v>0</v>
      </c>
      <c r="CN27" s="185">
        <f t="shared" si="12"/>
        <v>0</v>
      </c>
      <c r="CO27" s="185">
        <f t="shared" si="12"/>
        <v>0</v>
      </c>
      <c r="CP27" s="185">
        <f t="shared" si="12"/>
        <v>0</v>
      </c>
      <c r="CQ27" s="185">
        <f t="shared" si="12"/>
        <v>0</v>
      </c>
      <c r="CR27" s="185">
        <f t="shared" si="12"/>
        <v>0</v>
      </c>
      <c r="CS27" s="185">
        <f t="shared" si="12"/>
        <v>0</v>
      </c>
      <c r="CT27" s="185">
        <f t="shared" si="12"/>
        <v>0</v>
      </c>
      <c r="CU27" s="185">
        <f t="shared" si="12"/>
        <v>0</v>
      </c>
      <c r="CV27" s="185">
        <f t="shared" si="12"/>
        <v>0</v>
      </c>
      <c r="CW27" s="185">
        <f t="shared" si="12"/>
        <v>0</v>
      </c>
      <c r="CX27" s="185">
        <f t="shared" si="12"/>
        <v>0</v>
      </c>
      <c r="CY27" s="185">
        <f t="shared" si="12"/>
        <v>0</v>
      </c>
      <c r="CZ27" s="185">
        <f t="shared" si="12"/>
        <v>0</v>
      </c>
      <c r="DA27" s="185">
        <f t="shared" si="12"/>
        <v>0</v>
      </c>
      <c r="DB27" s="185">
        <f t="shared" si="12"/>
        <v>0</v>
      </c>
      <c r="DC27" s="185">
        <f t="shared" si="12"/>
        <v>0</v>
      </c>
      <c r="DD27" s="185">
        <f t="shared" si="12"/>
        <v>0</v>
      </c>
      <c r="DE27" s="185">
        <f t="shared" si="12"/>
        <v>0</v>
      </c>
      <c r="DF27" s="185">
        <f t="shared" si="12"/>
        <v>0</v>
      </c>
      <c r="DG27" s="185">
        <f t="shared" si="12"/>
        <v>0</v>
      </c>
      <c r="DH27" s="185">
        <f t="shared" si="12"/>
        <v>0</v>
      </c>
      <c r="DI27" s="185">
        <f t="shared" si="12"/>
        <v>0</v>
      </c>
      <c r="DJ27" s="185">
        <f t="shared" si="12"/>
        <v>0</v>
      </c>
      <c r="DK27" s="185">
        <f t="shared" si="12"/>
        <v>0</v>
      </c>
      <c r="DL27" s="185">
        <f t="shared" si="12"/>
        <v>0</v>
      </c>
      <c r="DM27" s="185">
        <f t="shared" si="12"/>
        <v>0</v>
      </c>
      <c r="DN27" s="185">
        <f t="shared" si="12"/>
        <v>0</v>
      </c>
      <c r="DO27" s="185">
        <f t="shared" si="12"/>
        <v>0</v>
      </c>
      <c r="DP27" s="185">
        <f t="shared" si="12"/>
        <v>0</v>
      </c>
      <c r="DQ27" s="185">
        <f t="shared" si="12"/>
        <v>0</v>
      </c>
      <c r="DR27" s="185">
        <f t="shared" si="12"/>
        <v>0</v>
      </c>
      <c r="DS27" s="185">
        <f t="shared" si="12"/>
        <v>0</v>
      </c>
      <c r="DT27" s="185">
        <f t="shared" si="12"/>
        <v>0</v>
      </c>
      <c r="DU27" s="185">
        <f t="shared" si="12"/>
        <v>0</v>
      </c>
      <c r="DV27" s="185">
        <f t="shared" si="12"/>
        <v>0</v>
      </c>
      <c r="DW27" s="185">
        <f t="shared" si="12"/>
        <v>0</v>
      </c>
      <c r="DX27" s="185">
        <f t="shared" si="12"/>
        <v>0</v>
      </c>
      <c r="DY27" s="185">
        <f t="shared" si="12"/>
        <v>0</v>
      </c>
      <c r="DZ27" s="185">
        <f t="shared" si="12"/>
        <v>0</v>
      </c>
      <c r="EA27" s="185">
        <f t="shared" si="12"/>
        <v>0</v>
      </c>
      <c r="EB27" s="185">
        <f t="shared" si="12"/>
        <v>0</v>
      </c>
      <c r="EC27" s="185">
        <f t="shared" ref="EC27:GA27" si="13">IF(ISBLANK(EC22),0,(EC18*1000*VLOOKUP(EC22,$B$36:$D$41,2,0)))</f>
        <v>0</v>
      </c>
      <c r="ED27" s="185">
        <f t="shared" si="13"/>
        <v>0</v>
      </c>
      <c r="EE27" s="185">
        <f t="shared" si="13"/>
        <v>0</v>
      </c>
      <c r="EF27" s="185">
        <f t="shared" si="13"/>
        <v>0</v>
      </c>
      <c r="EG27" s="185">
        <f t="shared" si="13"/>
        <v>0</v>
      </c>
      <c r="EH27" s="185">
        <f t="shared" si="13"/>
        <v>0</v>
      </c>
      <c r="EI27" s="185">
        <f t="shared" si="13"/>
        <v>0</v>
      </c>
      <c r="EJ27" s="185">
        <f t="shared" si="13"/>
        <v>0</v>
      </c>
      <c r="EK27" s="185">
        <f t="shared" si="13"/>
        <v>0</v>
      </c>
      <c r="EL27" s="185">
        <f t="shared" si="13"/>
        <v>0</v>
      </c>
      <c r="EM27" s="185">
        <f t="shared" si="13"/>
        <v>0</v>
      </c>
      <c r="EN27" s="185">
        <f t="shared" si="13"/>
        <v>0</v>
      </c>
      <c r="EO27" s="185">
        <f t="shared" si="13"/>
        <v>0</v>
      </c>
      <c r="EP27" s="185">
        <f t="shared" si="13"/>
        <v>0</v>
      </c>
      <c r="EQ27" s="185">
        <f t="shared" si="13"/>
        <v>0</v>
      </c>
      <c r="ER27" s="185">
        <f t="shared" si="13"/>
        <v>0</v>
      </c>
      <c r="ES27" s="185">
        <f t="shared" si="13"/>
        <v>0</v>
      </c>
      <c r="ET27" s="185">
        <f t="shared" si="13"/>
        <v>0</v>
      </c>
      <c r="EU27" s="185">
        <f t="shared" si="13"/>
        <v>0</v>
      </c>
      <c r="EV27" s="185">
        <f t="shared" si="13"/>
        <v>0</v>
      </c>
      <c r="EW27" s="185">
        <f t="shared" si="13"/>
        <v>0</v>
      </c>
      <c r="EX27" s="185">
        <f t="shared" si="13"/>
        <v>0</v>
      </c>
      <c r="EY27" s="185">
        <f t="shared" si="13"/>
        <v>0</v>
      </c>
      <c r="EZ27" s="185">
        <f t="shared" si="13"/>
        <v>0</v>
      </c>
      <c r="FA27" s="185">
        <f t="shared" si="13"/>
        <v>0</v>
      </c>
      <c r="FB27" s="185">
        <f t="shared" si="13"/>
        <v>0</v>
      </c>
      <c r="FC27" s="185">
        <f t="shared" si="13"/>
        <v>0</v>
      </c>
      <c r="FD27" s="185">
        <f t="shared" si="13"/>
        <v>0</v>
      </c>
      <c r="FE27" s="185">
        <f t="shared" si="13"/>
        <v>0</v>
      </c>
      <c r="FF27" s="185">
        <f t="shared" si="13"/>
        <v>0</v>
      </c>
      <c r="FG27" s="185">
        <f t="shared" si="13"/>
        <v>0</v>
      </c>
      <c r="FH27" s="185">
        <f t="shared" si="13"/>
        <v>0</v>
      </c>
      <c r="FI27" s="185">
        <f t="shared" si="13"/>
        <v>0</v>
      </c>
      <c r="FJ27" s="185">
        <f t="shared" si="13"/>
        <v>0</v>
      </c>
      <c r="FK27" s="185">
        <f t="shared" si="13"/>
        <v>0</v>
      </c>
      <c r="FL27" s="185">
        <f t="shared" si="13"/>
        <v>0</v>
      </c>
      <c r="FM27" s="185">
        <f t="shared" si="13"/>
        <v>0</v>
      </c>
      <c r="FN27" s="185">
        <f t="shared" si="13"/>
        <v>0</v>
      </c>
      <c r="FO27" s="185">
        <f t="shared" si="13"/>
        <v>0</v>
      </c>
      <c r="FP27" s="185">
        <f t="shared" si="13"/>
        <v>0</v>
      </c>
      <c r="FQ27" s="185">
        <f t="shared" si="13"/>
        <v>0</v>
      </c>
      <c r="FR27" s="185">
        <f t="shared" si="13"/>
        <v>0</v>
      </c>
      <c r="FS27" s="185">
        <f t="shared" si="13"/>
        <v>0</v>
      </c>
      <c r="FT27" s="185">
        <f t="shared" si="13"/>
        <v>0</v>
      </c>
      <c r="FU27" s="185">
        <f t="shared" si="13"/>
        <v>0</v>
      </c>
      <c r="FV27" s="185">
        <f t="shared" si="13"/>
        <v>0</v>
      </c>
      <c r="FW27" s="185">
        <f t="shared" si="13"/>
        <v>0</v>
      </c>
      <c r="FX27" s="185">
        <f t="shared" si="13"/>
        <v>0</v>
      </c>
      <c r="FY27" s="185">
        <f t="shared" si="13"/>
        <v>0</v>
      </c>
      <c r="FZ27" s="185">
        <f t="shared" si="13"/>
        <v>0</v>
      </c>
      <c r="GA27" s="185">
        <f t="shared" si="13"/>
        <v>0</v>
      </c>
      <c r="GB27" s="185">
        <f t="shared" ref="GB27:IM27" si="14">IF(ISBLANK(GB22),0,(GB18*1000*VLOOKUP(GB22,$B$36:$D$41,2,0)))</f>
        <v>0</v>
      </c>
      <c r="GC27" s="185">
        <f t="shared" si="14"/>
        <v>0</v>
      </c>
      <c r="GD27" s="185">
        <f t="shared" si="14"/>
        <v>0</v>
      </c>
      <c r="GE27" s="185">
        <f t="shared" si="14"/>
        <v>0</v>
      </c>
      <c r="GF27" s="185">
        <f t="shared" si="14"/>
        <v>0</v>
      </c>
      <c r="GG27" s="185">
        <f t="shared" si="14"/>
        <v>0</v>
      </c>
      <c r="GH27" s="185">
        <f t="shared" si="14"/>
        <v>0</v>
      </c>
      <c r="GI27" s="185">
        <f t="shared" si="14"/>
        <v>0</v>
      </c>
      <c r="GJ27" s="185">
        <f t="shared" si="14"/>
        <v>0</v>
      </c>
      <c r="GK27" s="185">
        <f t="shared" si="14"/>
        <v>0</v>
      </c>
      <c r="GL27" s="185">
        <f t="shared" si="14"/>
        <v>0</v>
      </c>
      <c r="GM27" s="185">
        <f t="shared" si="14"/>
        <v>0</v>
      </c>
      <c r="GN27" s="185">
        <f t="shared" si="14"/>
        <v>0</v>
      </c>
      <c r="GO27" s="185">
        <f t="shared" si="14"/>
        <v>0</v>
      </c>
      <c r="GP27" s="185">
        <f t="shared" si="14"/>
        <v>0</v>
      </c>
      <c r="GQ27" s="185">
        <f t="shared" si="14"/>
        <v>0</v>
      </c>
      <c r="GR27" s="185">
        <f t="shared" si="14"/>
        <v>0</v>
      </c>
      <c r="GS27" s="185">
        <f t="shared" si="14"/>
        <v>0</v>
      </c>
      <c r="GT27" s="185">
        <f t="shared" si="14"/>
        <v>0</v>
      </c>
      <c r="GU27" s="185">
        <f t="shared" si="14"/>
        <v>0</v>
      </c>
      <c r="GV27" s="185">
        <f t="shared" si="14"/>
        <v>0</v>
      </c>
      <c r="GW27" s="185">
        <f t="shared" si="14"/>
        <v>0</v>
      </c>
      <c r="GX27" s="185">
        <f t="shared" si="14"/>
        <v>0</v>
      </c>
      <c r="GY27" s="185">
        <f t="shared" si="14"/>
        <v>0</v>
      </c>
      <c r="GZ27" s="185">
        <f t="shared" si="14"/>
        <v>0</v>
      </c>
      <c r="HA27" s="185">
        <f t="shared" si="14"/>
        <v>0</v>
      </c>
      <c r="HB27" s="185">
        <f t="shared" si="14"/>
        <v>0</v>
      </c>
      <c r="HC27" s="185">
        <f t="shared" si="14"/>
        <v>0</v>
      </c>
      <c r="HD27" s="185">
        <f t="shared" si="14"/>
        <v>0</v>
      </c>
      <c r="HE27" s="185">
        <f t="shared" si="14"/>
        <v>0</v>
      </c>
      <c r="HF27" s="185">
        <f t="shared" si="14"/>
        <v>0</v>
      </c>
      <c r="HG27" s="185">
        <f t="shared" si="14"/>
        <v>0</v>
      </c>
      <c r="HH27" s="185">
        <f t="shared" si="14"/>
        <v>0</v>
      </c>
      <c r="HI27" s="185">
        <f t="shared" si="14"/>
        <v>0</v>
      </c>
      <c r="HJ27" s="185">
        <f t="shared" si="14"/>
        <v>0</v>
      </c>
      <c r="HK27" s="185">
        <f t="shared" si="14"/>
        <v>0</v>
      </c>
      <c r="HL27" s="185">
        <f t="shared" si="14"/>
        <v>0</v>
      </c>
      <c r="HM27" s="185">
        <f t="shared" si="14"/>
        <v>0</v>
      </c>
      <c r="HN27" s="185">
        <f t="shared" si="14"/>
        <v>0</v>
      </c>
      <c r="HO27" s="185">
        <f t="shared" si="14"/>
        <v>0</v>
      </c>
      <c r="HP27" s="185">
        <f t="shared" si="14"/>
        <v>0</v>
      </c>
      <c r="HQ27" s="185">
        <f t="shared" si="14"/>
        <v>0</v>
      </c>
      <c r="HR27" s="185">
        <f t="shared" si="14"/>
        <v>0</v>
      </c>
      <c r="HS27" s="185">
        <f t="shared" si="14"/>
        <v>0</v>
      </c>
      <c r="HT27" s="185">
        <f t="shared" si="14"/>
        <v>0</v>
      </c>
      <c r="HU27" s="185">
        <f t="shared" si="14"/>
        <v>0</v>
      </c>
      <c r="HV27" s="185">
        <f t="shared" si="14"/>
        <v>0</v>
      </c>
      <c r="HW27" s="185">
        <f t="shared" si="14"/>
        <v>0</v>
      </c>
      <c r="HX27" s="185">
        <f t="shared" si="14"/>
        <v>0</v>
      </c>
      <c r="HY27" s="185">
        <f t="shared" si="14"/>
        <v>0</v>
      </c>
      <c r="HZ27" s="185">
        <f t="shared" si="14"/>
        <v>0</v>
      </c>
      <c r="IA27" s="185">
        <f t="shared" si="14"/>
        <v>0</v>
      </c>
      <c r="IB27" s="185">
        <f t="shared" si="14"/>
        <v>0</v>
      </c>
      <c r="IC27" s="185">
        <f t="shared" si="14"/>
        <v>0</v>
      </c>
      <c r="ID27" s="185">
        <f t="shared" si="14"/>
        <v>0</v>
      </c>
      <c r="IE27" s="185">
        <f t="shared" si="14"/>
        <v>0</v>
      </c>
      <c r="IF27" s="185">
        <f t="shared" si="14"/>
        <v>0</v>
      </c>
      <c r="IG27" s="185">
        <f t="shared" si="14"/>
        <v>0</v>
      </c>
      <c r="IH27" s="185">
        <f t="shared" si="14"/>
        <v>0</v>
      </c>
      <c r="II27" s="185">
        <f t="shared" si="14"/>
        <v>0</v>
      </c>
      <c r="IJ27" s="185">
        <f t="shared" si="14"/>
        <v>0</v>
      </c>
      <c r="IK27" s="185">
        <f t="shared" si="14"/>
        <v>0</v>
      </c>
      <c r="IL27" s="185">
        <f t="shared" si="14"/>
        <v>0</v>
      </c>
      <c r="IM27" s="185">
        <f t="shared" si="14"/>
        <v>0</v>
      </c>
      <c r="IN27" s="185">
        <f t="shared" ref="IN27:IZ27" si="15">IF(ISBLANK(IN22),0,(IN18*1000*VLOOKUP(IN22,$B$36:$D$41,2,0)))</f>
        <v>0</v>
      </c>
      <c r="IO27" s="185">
        <f t="shared" si="15"/>
        <v>0</v>
      </c>
      <c r="IP27" s="185">
        <f t="shared" si="15"/>
        <v>0</v>
      </c>
      <c r="IQ27" s="185">
        <f t="shared" si="15"/>
        <v>0</v>
      </c>
      <c r="IR27" s="185">
        <f t="shared" si="15"/>
        <v>0</v>
      </c>
      <c r="IS27" s="185">
        <f t="shared" si="15"/>
        <v>0</v>
      </c>
      <c r="IT27" s="185">
        <f t="shared" si="15"/>
        <v>0</v>
      </c>
      <c r="IU27" s="185">
        <f t="shared" si="15"/>
        <v>0</v>
      </c>
      <c r="IV27" s="185">
        <f t="shared" si="15"/>
        <v>0</v>
      </c>
      <c r="IW27" s="185">
        <f t="shared" si="15"/>
        <v>0</v>
      </c>
      <c r="IX27" s="185">
        <f t="shared" si="15"/>
        <v>0</v>
      </c>
      <c r="IY27" s="185">
        <f t="shared" si="15"/>
        <v>0</v>
      </c>
      <c r="IZ27" s="185">
        <f t="shared" si="15"/>
        <v>0</v>
      </c>
    </row>
    <row r="28" spans="1:260" s="137" customFormat="1" ht="12.95" customHeight="1" x14ac:dyDescent="0.25">
      <c r="A28" s="215">
        <v>333</v>
      </c>
      <c r="B28" s="125"/>
      <c r="C28" s="120" t="s">
        <v>243</v>
      </c>
      <c r="D28" s="136">
        <f>IF(ISBLANK(D22),0,SUM(D26:D27))</f>
        <v>77000</v>
      </c>
      <c r="E28" s="136">
        <f t="shared" ref="E28:BP28" si="16">IF(ISBLANK(E22),0,SUM(E26:E27))</f>
        <v>192500</v>
      </c>
      <c r="F28" s="136">
        <f t="shared" si="16"/>
        <v>38000</v>
      </c>
      <c r="G28" s="136">
        <f t="shared" si="16"/>
        <v>192500</v>
      </c>
      <c r="H28" s="136">
        <f t="shared" si="16"/>
        <v>115500</v>
      </c>
      <c r="I28" s="136">
        <f t="shared" si="16"/>
        <v>115500</v>
      </c>
      <c r="J28" s="136">
        <f t="shared" si="16"/>
        <v>77000</v>
      </c>
      <c r="K28" s="136">
        <f t="shared" si="16"/>
        <v>77000</v>
      </c>
      <c r="L28" s="136">
        <f t="shared" si="16"/>
        <v>57750</v>
      </c>
      <c r="M28" s="136">
        <f t="shared" si="16"/>
        <v>62250</v>
      </c>
      <c r="N28" s="136">
        <f t="shared" si="16"/>
        <v>18000</v>
      </c>
      <c r="O28" s="136">
        <f t="shared" si="16"/>
        <v>25800</v>
      </c>
      <c r="P28" s="136">
        <f t="shared" si="16"/>
        <v>96250</v>
      </c>
      <c r="Q28" s="136">
        <f t="shared" si="16"/>
        <v>114500</v>
      </c>
      <c r="R28" s="136">
        <f t="shared" si="16"/>
        <v>115500</v>
      </c>
      <c r="S28" s="136">
        <f t="shared" si="16"/>
        <v>173250</v>
      </c>
      <c r="T28" s="136">
        <f t="shared" si="16"/>
        <v>115500</v>
      </c>
      <c r="U28" s="136">
        <f t="shared" si="16"/>
        <v>77000</v>
      </c>
      <c r="V28" s="136">
        <f t="shared" si="16"/>
        <v>24000</v>
      </c>
      <c r="W28" s="136">
        <f t="shared" si="16"/>
        <v>22500</v>
      </c>
      <c r="X28" s="136">
        <f t="shared" si="16"/>
        <v>22500</v>
      </c>
      <c r="Y28" s="136">
        <f t="shared" si="16"/>
        <v>74000</v>
      </c>
      <c r="Z28" s="136">
        <f t="shared" si="16"/>
        <v>57750</v>
      </c>
      <c r="AA28" s="136">
        <f t="shared" si="16"/>
        <v>38000</v>
      </c>
      <c r="AB28" s="136">
        <f t="shared" si="16"/>
        <v>38000</v>
      </c>
      <c r="AC28" s="136">
        <f t="shared" si="16"/>
        <v>115500</v>
      </c>
      <c r="AD28" s="136">
        <f t="shared" si="16"/>
        <v>57750</v>
      </c>
      <c r="AE28" s="136">
        <f t="shared" si="16"/>
        <v>25800</v>
      </c>
      <c r="AF28" s="136">
        <f t="shared" si="16"/>
        <v>49800</v>
      </c>
      <c r="AG28" s="136">
        <f t="shared" si="16"/>
        <v>22500</v>
      </c>
      <c r="AH28" s="136">
        <f t="shared" si="16"/>
        <v>55095</v>
      </c>
      <c r="AI28" s="136">
        <f t="shared" si="16"/>
        <v>77000</v>
      </c>
      <c r="AJ28" s="136">
        <f t="shared" si="16"/>
        <v>40000</v>
      </c>
      <c r="AK28" s="136">
        <f t="shared" si="16"/>
        <v>57750</v>
      </c>
      <c r="AL28" s="136">
        <f t="shared" si="16"/>
        <v>40000</v>
      </c>
      <c r="AM28" s="136">
        <f t="shared" si="16"/>
        <v>39600</v>
      </c>
      <c r="AN28" s="136">
        <f t="shared" si="16"/>
        <v>78000</v>
      </c>
      <c r="AO28" s="136">
        <f t="shared" si="16"/>
        <v>62250</v>
      </c>
      <c r="AP28" s="136">
        <f t="shared" si="16"/>
        <v>83000</v>
      </c>
      <c r="AQ28" s="136">
        <f t="shared" si="16"/>
        <v>360000</v>
      </c>
      <c r="AR28" s="136">
        <f t="shared" si="16"/>
        <v>540000</v>
      </c>
      <c r="AS28" s="136">
        <f t="shared" si="16"/>
        <v>225000</v>
      </c>
      <c r="AT28" s="136">
        <f t="shared" si="16"/>
        <v>0</v>
      </c>
      <c r="AU28" s="136">
        <f t="shared" si="16"/>
        <v>0</v>
      </c>
      <c r="AV28" s="136">
        <f t="shared" si="16"/>
        <v>0</v>
      </c>
      <c r="AW28" s="136">
        <f t="shared" si="16"/>
        <v>0</v>
      </c>
      <c r="AX28" s="136">
        <f t="shared" si="16"/>
        <v>0</v>
      </c>
      <c r="AY28" s="136">
        <f t="shared" si="16"/>
        <v>0</v>
      </c>
      <c r="AZ28" s="136">
        <f t="shared" si="16"/>
        <v>0</v>
      </c>
      <c r="BA28" s="136">
        <f t="shared" si="16"/>
        <v>0</v>
      </c>
      <c r="BB28" s="136">
        <f t="shared" si="16"/>
        <v>0</v>
      </c>
      <c r="BC28" s="136">
        <f t="shared" si="16"/>
        <v>0</v>
      </c>
      <c r="BD28" s="136">
        <f t="shared" si="16"/>
        <v>0</v>
      </c>
      <c r="BE28" s="136">
        <f t="shared" si="16"/>
        <v>0</v>
      </c>
      <c r="BF28" s="136">
        <f t="shared" si="16"/>
        <v>0</v>
      </c>
      <c r="BG28" s="136">
        <f t="shared" si="16"/>
        <v>0</v>
      </c>
      <c r="BH28" s="136">
        <f t="shared" si="16"/>
        <v>0</v>
      </c>
      <c r="BI28" s="136">
        <f t="shared" si="16"/>
        <v>0</v>
      </c>
      <c r="BJ28" s="136">
        <f t="shared" si="16"/>
        <v>0</v>
      </c>
      <c r="BK28" s="136">
        <f t="shared" si="16"/>
        <v>0</v>
      </c>
      <c r="BL28" s="136">
        <f t="shared" si="16"/>
        <v>0</v>
      </c>
      <c r="BM28" s="136">
        <f t="shared" si="16"/>
        <v>0</v>
      </c>
      <c r="BN28" s="136">
        <f t="shared" si="16"/>
        <v>0</v>
      </c>
      <c r="BO28" s="136">
        <f t="shared" si="16"/>
        <v>0</v>
      </c>
      <c r="BP28" s="136">
        <f t="shared" si="16"/>
        <v>0</v>
      </c>
      <c r="BQ28" s="136">
        <f t="shared" ref="BQ28:EB28" si="17">IF(ISBLANK(BQ22),0,SUM(BQ26:BQ27))</f>
        <v>0</v>
      </c>
      <c r="BR28" s="136">
        <f t="shared" si="17"/>
        <v>0</v>
      </c>
      <c r="BS28" s="136">
        <f t="shared" si="17"/>
        <v>0</v>
      </c>
      <c r="BT28" s="136">
        <f t="shared" si="17"/>
        <v>0</v>
      </c>
      <c r="BU28" s="136">
        <f t="shared" si="17"/>
        <v>0</v>
      </c>
      <c r="BV28" s="136">
        <f t="shared" si="17"/>
        <v>0</v>
      </c>
      <c r="BW28" s="136">
        <f t="shared" si="17"/>
        <v>0</v>
      </c>
      <c r="BX28" s="136">
        <f t="shared" si="17"/>
        <v>0</v>
      </c>
      <c r="BY28" s="136">
        <f t="shared" si="17"/>
        <v>0</v>
      </c>
      <c r="BZ28" s="136">
        <f t="shared" si="17"/>
        <v>0</v>
      </c>
      <c r="CA28" s="136">
        <f t="shared" si="17"/>
        <v>0</v>
      </c>
      <c r="CB28" s="136">
        <f t="shared" si="17"/>
        <v>0</v>
      </c>
      <c r="CC28" s="136">
        <f t="shared" si="17"/>
        <v>0</v>
      </c>
      <c r="CD28" s="136">
        <f t="shared" si="17"/>
        <v>0</v>
      </c>
      <c r="CE28" s="136">
        <f t="shared" si="17"/>
        <v>0</v>
      </c>
      <c r="CF28" s="136">
        <f t="shared" si="17"/>
        <v>0</v>
      </c>
      <c r="CG28" s="136">
        <f t="shared" si="17"/>
        <v>0</v>
      </c>
      <c r="CH28" s="136">
        <f t="shared" si="17"/>
        <v>0</v>
      </c>
      <c r="CI28" s="136">
        <f t="shared" si="17"/>
        <v>0</v>
      </c>
      <c r="CJ28" s="136">
        <f t="shared" si="17"/>
        <v>0</v>
      </c>
      <c r="CK28" s="136">
        <f t="shared" si="17"/>
        <v>0</v>
      </c>
      <c r="CL28" s="136">
        <f t="shared" si="17"/>
        <v>0</v>
      </c>
      <c r="CM28" s="136">
        <f t="shared" si="17"/>
        <v>0</v>
      </c>
      <c r="CN28" s="136">
        <f t="shared" si="17"/>
        <v>0</v>
      </c>
      <c r="CO28" s="136">
        <f t="shared" si="17"/>
        <v>0</v>
      </c>
      <c r="CP28" s="136">
        <f t="shared" si="17"/>
        <v>0</v>
      </c>
      <c r="CQ28" s="136">
        <f t="shared" si="17"/>
        <v>0</v>
      </c>
      <c r="CR28" s="136">
        <f t="shared" si="17"/>
        <v>0</v>
      </c>
      <c r="CS28" s="136">
        <f t="shared" si="17"/>
        <v>0</v>
      </c>
      <c r="CT28" s="136">
        <f t="shared" si="17"/>
        <v>0</v>
      </c>
      <c r="CU28" s="136">
        <f t="shared" si="17"/>
        <v>0</v>
      </c>
      <c r="CV28" s="136">
        <f t="shared" si="17"/>
        <v>0</v>
      </c>
      <c r="CW28" s="136">
        <f t="shared" si="17"/>
        <v>0</v>
      </c>
      <c r="CX28" s="136">
        <f t="shared" si="17"/>
        <v>0</v>
      </c>
      <c r="CY28" s="136">
        <f t="shared" si="17"/>
        <v>0</v>
      </c>
      <c r="CZ28" s="136">
        <f t="shared" si="17"/>
        <v>0</v>
      </c>
      <c r="DA28" s="136">
        <f t="shared" si="17"/>
        <v>0</v>
      </c>
      <c r="DB28" s="136">
        <f t="shared" si="17"/>
        <v>0</v>
      </c>
      <c r="DC28" s="136">
        <f t="shared" si="17"/>
        <v>0</v>
      </c>
      <c r="DD28" s="136">
        <f t="shared" si="17"/>
        <v>0</v>
      </c>
      <c r="DE28" s="136">
        <f t="shared" si="17"/>
        <v>0</v>
      </c>
      <c r="DF28" s="136">
        <f t="shared" si="17"/>
        <v>0</v>
      </c>
      <c r="DG28" s="136">
        <f t="shared" si="17"/>
        <v>0</v>
      </c>
      <c r="DH28" s="136">
        <f t="shared" si="17"/>
        <v>0</v>
      </c>
      <c r="DI28" s="136">
        <f t="shared" si="17"/>
        <v>0</v>
      </c>
      <c r="DJ28" s="136">
        <f t="shared" si="17"/>
        <v>0</v>
      </c>
      <c r="DK28" s="136">
        <f t="shared" si="17"/>
        <v>0</v>
      </c>
      <c r="DL28" s="136">
        <f t="shared" si="17"/>
        <v>0</v>
      </c>
      <c r="DM28" s="136">
        <f t="shared" si="17"/>
        <v>0</v>
      </c>
      <c r="DN28" s="136">
        <f t="shared" si="17"/>
        <v>0</v>
      </c>
      <c r="DO28" s="136">
        <f t="shared" si="17"/>
        <v>0</v>
      </c>
      <c r="DP28" s="136">
        <f t="shared" si="17"/>
        <v>0</v>
      </c>
      <c r="DQ28" s="136">
        <f t="shared" si="17"/>
        <v>0</v>
      </c>
      <c r="DR28" s="136">
        <f t="shared" si="17"/>
        <v>0</v>
      </c>
      <c r="DS28" s="136">
        <f t="shared" si="17"/>
        <v>0</v>
      </c>
      <c r="DT28" s="136">
        <f t="shared" si="17"/>
        <v>0</v>
      </c>
      <c r="DU28" s="136">
        <f t="shared" si="17"/>
        <v>0</v>
      </c>
      <c r="DV28" s="136">
        <f t="shared" si="17"/>
        <v>0</v>
      </c>
      <c r="DW28" s="136">
        <f t="shared" si="17"/>
        <v>0</v>
      </c>
      <c r="DX28" s="136">
        <f t="shared" si="17"/>
        <v>0</v>
      </c>
      <c r="DY28" s="136">
        <f t="shared" si="17"/>
        <v>0</v>
      </c>
      <c r="DZ28" s="136">
        <f t="shared" si="17"/>
        <v>0</v>
      </c>
      <c r="EA28" s="136">
        <f t="shared" si="17"/>
        <v>0</v>
      </c>
      <c r="EB28" s="136">
        <f t="shared" si="17"/>
        <v>0</v>
      </c>
      <c r="EC28" s="136">
        <f t="shared" ref="EC28:GA28" si="18">IF(ISBLANK(EC22),0,SUM(EC26:EC27))</f>
        <v>0</v>
      </c>
      <c r="ED28" s="136">
        <f t="shared" si="18"/>
        <v>0</v>
      </c>
      <c r="EE28" s="136">
        <f t="shared" si="18"/>
        <v>0</v>
      </c>
      <c r="EF28" s="136">
        <f t="shared" si="18"/>
        <v>0</v>
      </c>
      <c r="EG28" s="136">
        <f t="shared" si="18"/>
        <v>0</v>
      </c>
      <c r="EH28" s="136">
        <f t="shared" si="18"/>
        <v>0</v>
      </c>
      <c r="EI28" s="136">
        <f t="shared" si="18"/>
        <v>0</v>
      </c>
      <c r="EJ28" s="136">
        <f t="shared" si="18"/>
        <v>0</v>
      </c>
      <c r="EK28" s="136">
        <f t="shared" si="18"/>
        <v>0</v>
      </c>
      <c r="EL28" s="136">
        <f t="shared" si="18"/>
        <v>0</v>
      </c>
      <c r="EM28" s="136">
        <f t="shared" si="18"/>
        <v>0</v>
      </c>
      <c r="EN28" s="136">
        <f t="shared" si="18"/>
        <v>0</v>
      </c>
      <c r="EO28" s="136">
        <f t="shared" si="18"/>
        <v>0</v>
      </c>
      <c r="EP28" s="136">
        <f t="shared" si="18"/>
        <v>0</v>
      </c>
      <c r="EQ28" s="136">
        <f t="shared" si="18"/>
        <v>0</v>
      </c>
      <c r="ER28" s="136">
        <f t="shared" si="18"/>
        <v>0</v>
      </c>
      <c r="ES28" s="136">
        <f t="shared" si="18"/>
        <v>0</v>
      </c>
      <c r="ET28" s="136">
        <f t="shared" si="18"/>
        <v>0</v>
      </c>
      <c r="EU28" s="136">
        <f t="shared" si="18"/>
        <v>0</v>
      </c>
      <c r="EV28" s="136">
        <f t="shared" si="18"/>
        <v>0</v>
      </c>
      <c r="EW28" s="136">
        <f t="shared" si="18"/>
        <v>0</v>
      </c>
      <c r="EX28" s="136">
        <f t="shared" si="18"/>
        <v>0</v>
      </c>
      <c r="EY28" s="136">
        <f t="shared" si="18"/>
        <v>0</v>
      </c>
      <c r="EZ28" s="136">
        <f t="shared" si="18"/>
        <v>0</v>
      </c>
      <c r="FA28" s="136">
        <f t="shared" si="18"/>
        <v>0</v>
      </c>
      <c r="FB28" s="136">
        <f t="shared" si="18"/>
        <v>0</v>
      </c>
      <c r="FC28" s="136">
        <f t="shared" si="18"/>
        <v>0</v>
      </c>
      <c r="FD28" s="136">
        <f t="shared" si="18"/>
        <v>0</v>
      </c>
      <c r="FE28" s="136">
        <f t="shared" si="18"/>
        <v>0</v>
      </c>
      <c r="FF28" s="136">
        <f t="shared" si="18"/>
        <v>0</v>
      </c>
      <c r="FG28" s="136">
        <f t="shared" si="18"/>
        <v>0</v>
      </c>
      <c r="FH28" s="136">
        <f t="shared" si="18"/>
        <v>0</v>
      </c>
      <c r="FI28" s="136">
        <f t="shared" si="18"/>
        <v>0</v>
      </c>
      <c r="FJ28" s="136">
        <f t="shared" si="18"/>
        <v>0</v>
      </c>
      <c r="FK28" s="136">
        <f t="shared" si="18"/>
        <v>0</v>
      </c>
      <c r="FL28" s="136">
        <f t="shared" si="18"/>
        <v>0</v>
      </c>
      <c r="FM28" s="136">
        <f t="shared" si="18"/>
        <v>0</v>
      </c>
      <c r="FN28" s="136">
        <f t="shared" si="18"/>
        <v>0</v>
      </c>
      <c r="FO28" s="136">
        <f t="shared" si="18"/>
        <v>0</v>
      </c>
      <c r="FP28" s="136">
        <f t="shared" si="18"/>
        <v>0</v>
      </c>
      <c r="FQ28" s="136">
        <f t="shared" si="18"/>
        <v>0</v>
      </c>
      <c r="FR28" s="136">
        <f t="shared" si="18"/>
        <v>0</v>
      </c>
      <c r="FS28" s="136">
        <f t="shared" si="18"/>
        <v>0</v>
      </c>
      <c r="FT28" s="136">
        <f t="shared" si="18"/>
        <v>0</v>
      </c>
      <c r="FU28" s="136">
        <f t="shared" si="18"/>
        <v>0</v>
      </c>
      <c r="FV28" s="136">
        <f t="shared" si="18"/>
        <v>0</v>
      </c>
      <c r="FW28" s="136">
        <f t="shared" si="18"/>
        <v>0</v>
      </c>
      <c r="FX28" s="136">
        <f t="shared" si="18"/>
        <v>0</v>
      </c>
      <c r="FY28" s="136">
        <f t="shared" si="18"/>
        <v>0</v>
      </c>
      <c r="FZ28" s="136">
        <f t="shared" si="18"/>
        <v>0</v>
      </c>
      <c r="GA28" s="136">
        <f t="shared" si="18"/>
        <v>0</v>
      </c>
      <c r="GB28" s="136">
        <f t="shared" ref="GB28:IM28" si="19">IF(ISBLANK(GB22),0,SUM(GB26:GB27))</f>
        <v>0</v>
      </c>
      <c r="GC28" s="136">
        <f t="shared" si="19"/>
        <v>0</v>
      </c>
      <c r="GD28" s="136">
        <f t="shared" si="19"/>
        <v>0</v>
      </c>
      <c r="GE28" s="136">
        <f t="shared" si="19"/>
        <v>0</v>
      </c>
      <c r="GF28" s="136">
        <f t="shared" si="19"/>
        <v>0</v>
      </c>
      <c r="GG28" s="136">
        <f t="shared" si="19"/>
        <v>0</v>
      </c>
      <c r="GH28" s="136">
        <f t="shared" si="19"/>
        <v>0</v>
      </c>
      <c r="GI28" s="136">
        <f t="shared" si="19"/>
        <v>0</v>
      </c>
      <c r="GJ28" s="136">
        <f t="shared" si="19"/>
        <v>0</v>
      </c>
      <c r="GK28" s="136">
        <f t="shared" si="19"/>
        <v>0</v>
      </c>
      <c r="GL28" s="136">
        <f t="shared" si="19"/>
        <v>0</v>
      </c>
      <c r="GM28" s="136">
        <f t="shared" si="19"/>
        <v>0</v>
      </c>
      <c r="GN28" s="136">
        <f t="shared" si="19"/>
        <v>0</v>
      </c>
      <c r="GO28" s="136">
        <f t="shared" si="19"/>
        <v>0</v>
      </c>
      <c r="GP28" s="136">
        <f t="shared" si="19"/>
        <v>0</v>
      </c>
      <c r="GQ28" s="136">
        <f t="shared" si="19"/>
        <v>0</v>
      </c>
      <c r="GR28" s="136">
        <f t="shared" si="19"/>
        <v>0</v>
      </c>
      <c r="GS28" s="136">
        <f t="shared" si="19"/>
        <v>0</v>
      </c>
      <c r="GT28" s="136">
        <f t="shared" si="19"/>
        <v>0</v>
      </c>
      <c r="GU28" s="136">
        <f t="shared" si="19"/>
        <v>0</v>
      </c>
      <c r="GV28" s="136">
        <f t="shared" si="19"/>
        <v>0</v>
      </c>
      <c r="GW28" s="136">
        <f t="shared" si="19"/>
        <v>0</v>
      </c>
      <c r="GX28" s="136">
        <f t="shared" si="19"/>
        <v>0</v>
      </c>
      <c r="GY28" s="136">
        <f t="shared" si="19"/>
        <v>0</v>
      </c>
      <c r="GZ28" s="136">
        <f t="shared" si="19"/>
        <v>0</v>
      </c>
      <c r="HA28" s="136">
        <f t="shared" si="19"/>
        <v>0</v>
      </c>
      <c r="HB28" s="136">
        <f t="shared" si="19"/>
        <v>0</v>
      </c>
      <c r="HC28" s="136">
        <f t="shared" si="19"/>
        <v>0</v>
      </c>
      <c r="HD28" s="136">
        <f t="shared" si="19"/>
        <v>0</v>
      </c>
      <c r="HE28" s="136">
        <f t="shared" si="19"/>
        <v>0</v>
      </c>
      <c r="HF28" s="136">
        <f t="shared" si="19"/>
        <v>0</v>
      </c>
      <c r="HG28" s="136">
        <f t="shared" si="19"/>
        <v>0</v>
      </c>
      <c r="HH28" s="136">
        <f t="shared" si="19"/>
        <v>0</v>
      </c>
      <c r="HI28" s="136">
        <f t="shared" si="19"/>
        <v>0</v>
      </c>
      <c r="HJ28" s="136">
        <f t="shared" si="19"/>
        <v>0</v>
      </c>
      <c r="HK28" s="136">
        <f t="shared" si="19"/>
        <v>0</v>
      </c>
      <c r="HL28" s="136">
        <f t="shared" si="19"/>
        <v>0</v>
      </c>
      <c r="HM28" s="136">
        <f t="shared" si="19"/>
        <v>0</v>
      </c>
      <c r="HN28" s="136">
        <f t="shared" si="19"/>
        <v>0</v>
      </c>
      <c r="HO28" s="136">
        <f t="shared" si="19"/>
        <v>0</v>
      </c>
      <c r="HP28" s="136">
        <f t="shared" si="19"/>
        <v>0</v>
      </c>
      <c r="HQ28" s="136">
        <f t="shared" si="19"/>
        <v>0</v>
      </c>
      <c r="HR28" s="136">
        <f t="shared" si="19"/>
        <v>0</v>
      </c>
      <c r="HS28" s="136">
        <f t="shared" si="19"/>
        <v>0</v>
      </c>
      <c r="HT28" s="136">
        <f t="shared" si="19"/>
        <v>0</v>
      </c>
      <c r="HU28" s="136">
        <f t="shared" si="19"/>
        <v>0</v>
      </c>
      <c r="HV28" s="136">
        <f t="shared" si="19"/>
        <v>0</v>
      </c>
      <c r="HW28" s="136">
        <f t="shared" si="19"/>
        <v>0</v>
      </c>
      <c r="HX28" s="136">
        <f t="shared" si="19"/>
        <v>0</v>
      </c>
      <c r="HY28" s="136">
        <f t="shared" si="19"/>
        <v>0</v>
      </c>
      <c r="HZ28" s="136">
        <f t="shared" si="19"/>
        <v>0</v>
      </c>
      <c r="IA28" s="136">
        <f t="shared" si="19"/>
        <v>0</v>
      </c>
      <c r="IB28" s="136">
        <f t="shared" si="19"/>
        <v>0</v>
      </c>
      <c r="IC28" s="136">
        <f t="shared" si="19"/>
        <v>0</v>
      </c>
      <c r="ID28" s="136">
        <f t="shared" si="19"/>
        <v>0</v>
      </c>
      <c r="IE28" s="136">
        <f t="shared" si="19"/>
        <v>0</v>
      </c>
      <c r="IF28" s="136">
        <f t="shared" si="19"/>
        <v>0</v>
      </c>
      <c r="IG28" s="136">
        <f t="shared" si="19"/>
        <v>0</v>
      </c>
      <c r="IH28" s="136">
        <f t="shared" si="19"/>
        <v>0</v>
      </c>
      <c r="II28" s="136">
        <f t="shared" si="19"/>
        <v>0</v>
      </c>
      <c r="IJ28" s="136">
        <f t="shared" si="19"/>
        <v>0</v>
      </c>
      <c r="IK28" s="136">
        <f t="shared" si="19"/>
        <v>0</v>
      </c>
      <c r="IL28" s="136">
        <f t="shared" si="19"/>
        <v>0</v>
      </c>
      <c r="IM28" s="136">
        <f t="shared" si="19"/>
        <v>0</v>
      </c>
      <c r="IN28" s="136">
        <f t="shared" ref="IN28:IZ28" si="20">IF(ISBLANK(IN22),0,SUM(IN26:IN27))</f>
        <v>0</v>
      </c>
      <c r="IO28" s="136">
        <f t="shared" si="20"/>
        <v>0</v>
      </c>
      <c r="IP28" s="136">
        <f t="shared" si="20"/>
        <v>0</v>
      </c>
      <c r="IQ28" s="136">
        <f t="shared" si="20"/>
        <v>0</v>
      </c>
      <c r="IR28" s="136">
        <f t="shared" si="20"/>
        <v>0</v>
      </c>
      <c r="IS28" s="136">
        <f t="shared" si="20"/>
        <v>0</v>
      </c>
      <c r="IT28" s="136">
        <f t="shared" si="20"/>
        <v>0</v>
      </c>
      <c r="IU28" s="136">
        <f t="shared" si="20"/>
        <v>0</v>
      </c>
      <c r="IV28" s="136">
        <f t="shared" si="20"/>
        <v>0</v>
      </c>
      <c r="IW28" s="136">
        <f t="shared" si="20"/>
        <v>0</v>
      </c>
      <c r="IX28" s="136">
        <f t="shared" si="20"/>
        <v>0</v>
      </c>
      <c r="IY28" s="136">
        <f t="shared" si="20"/>
        <v>0</v>
      </c>
      <c r="IZ28" s="136">
        <f t="shared" si="20"/>
        <v>0</v>
      </c>
    </row>
    <row r="29" spans="1:260" s="141" customFormat="1" ht="12.95" customHeight="1" x14ac:dyDescent="0.25">
      <c r="A29" s="215">
        <v>334</v>
      </c>
      <c r="B29" s="138"/>
      <c r="C29" s="139" t="s">
        <v>244</v>
      </c>
      <c r="D29" s="140">
        <f>IF(ISBLANK(D23),0,SUM(D25:D27))</f>
        <v>84320</v>
      </c>
      <c r="E29" s="140">
        <f t="shared" ref="E29:BP29" si="21">IF(ISBLANK(E23),0,SUM(E25:E27))</f>
        <v>203300</v>
      </c>
      <c r="F29" s="140">
        <f t="shared" si="21"/>
        <v>42200</v>
      </c>
      <c r="G29" s="140">
        <f t="shared" si="21"/>
        <v>203300</v>
      </c>
      <c r="H29" s="140">
        <f t="shared" si="21"/>
        <v>124480</v>
      </c>
      <c r="I29" s="140">
        <f t="shared" si="21"/>
        <v>124480</v>
      </c>
      <c r="J29" s="140">
        <f t="shared" si="21"/>
        <v>84320</v>
      </c>
      <c r="K29" s="140">
        <f t="shared" si="21"/>
        <v>84320</v>
      </c>
      <c r="L29" s="140">
        <f t="shared" si="21"/>
        <v>64240</v>
      </c>
      <c r="M29" s="140">
        <f t="shared" si="21"/>
        <v>68650</v>
      </c>
      <c r="N29" s="140">
        <f t="shared" si="21"/>
        <v>20090</v>
      </c>
      <c r="O29" s="140">
        <f t="shared" si="21"/>
        <v>28660</v>
      </c>
      <c r="P29" s="140">
        <f t="shared" si="21"/>
        <v>104400</v>
      </c>
      <c r="Q29" s="140">
        <f t="shared" si="21"/>
        <v>123500</v>
      </c>
      <c r="R29" s="140">
        <f t="shared" si="21"/>
        <v>124480</v>
      </c>
      <c r="S29" s="140">
        <f t="shared" si="21"/>
        <v>184720</v>
      </c>
      <c r="T29" s="140">
        <f t="shared" si="21"/>
        <v>124480</v>
      </c>
      <c r="U29" s="140">
        <f t="shared" si="21"/>
        <v>84320</v>
      </c>
      <c r="V29" s="140">
        <f t="shared" si="21"/>
        <v>26896</v>
      </c>
      <c r="W29" s="140">
        <f t="shared" si="21"/>
        <v>24950</v>
      </c>
      <c r="X29" s="140">
        <f t="shared" si="21"/>
        <v>24950</v>
      </c>
      <c r="Y29" s="140">
        <f t="shared" si="21"/>
        <v>81380</v>
      </c>
      <c r="Z29" s="140">
        <f t="shared" si="21"/>
        <v>64240</v>
      </c>
      <c r="AA29" s="140">
        <f t="shared" si="21"/>
        <v>42200</v>
      </c>
      <c r="AB29" s="140">
        <f t="shared" si="21"/>
        <v>42200</v>
      </c>
      <c r="AC29" s="140">
        <f t="shared" si="21"/>
        <v>124480</v>
      </c>
      <c r="AD29" s="140">
        <f t="shared" si="21"/>
        <v>64240</v>
      </c>
      <c r="AE29" s="140">
        <f t="shared" si="21"/>
        <v>28660</v>
      </c>
      <c r="AF29" s="140">
        <f t="shared" si="21"/>
        <v>55720</v>
      </c>
      <c r="AG29" s="140">
        <f t="shared" si="21"/>
        <v>24950</v>
      </c>
      <c r="AH29" s="140">
        <f t="shared" si="21"/>
        <v>61225</v>
      </c>
      <c r="AI29" s="140">
        <f t="shared" si="21"/>
        <v>84320</v>
      </c>
      <c r="AJ29" s="140">
        <f t="shared" si="21"/>
        <v>44160</v>
      </c>
      <c r="AK29" s="140">
        <f t="shared" si="21"/>
        <v>64240</v>
      </c>
      <c r="AL29" s="140">
        <f t="shared" si="21"/>
        <v>44160</v>
      </c>
      <c r="AM29" s="140">
        <f t="shared" si="21"/>
        <v>43768</v>
      </c>
      <c r="AN29" s="140">
        <f t="shared" si="21"/>
        <v>85300</v>
      </c>
      <c r="AO29" s="140">
        <f t="shared" si="21"/>
        <v>68650</v>
      </c>
      <c r="AP29" s="140">
        <f t="shared" si="21"/>
        <v>90200</v>
      </c>
      <c r="AQ29" s="140">
        <f t="shared" si="21"/>
        <v>401800</v>
      </c>
      <c r="AR29" s="140">
        <f t="shared" si="21"/>
        <v>602700</v>
      </c>
      <c r="AS29" s="140">
        <f t="shared" si="21"/>
        <v>252750</v>
      </c>
      <c r="AT29" s="140">
        <f t="shared" si="21"/>
        <v>0</v>
      </c>
      <c r="AU29" s="140">
        <f t="shared" si="21"/>
        <v>0</v>
      </c>
      <c r="AV29" s="140">
        <f t="shared" si="21"/>
        <v>0</v>
      </c>
      <c r="AW29" s="140">
        <f t="shared" si="21"/>
        <v>0</v>
      </c>
      <c r="AX29" s="140">
        <f t="shared" si="21"/>
        <v>0</v>
      </c>
      <c r="AY29" s="140">
        <f t="shared" si="21"/>
        <v>0</v>
      </c>
      <c r="AZ29" s="140">
        <f t="shared" si="21"/>
        <v>0</v>
      </c>
      <c r="BA29" s="140">
        <f t="shared" si="21"/>
        <v>0</v>
      </c>
      <c r="BB29" s="140">
        <f t="shared" si="21"/>
        <v>0</v>
      </c>
      <c r="BC29" s="140">
        <f t="shared" si="21"/>
        <v>0</v>
      </c>
      <c r="BD29" s="140">
        <f t="shared" si="21"/>
        <v>0</v>
      </c>
      <c r="BE29" s="140">
        <f t="shared" si="21"/>
        <v>0</v>
      </c>
      <c r="BF29" s="140">
        <f t="shared" si="21"/>
        <v>0</v>
      </c>
      <c r="BG29" s="140">
        <f t="shared" si="21"/>
        <v>0</v>
      </c>
      <c r="BH29" s="140">
        <f t="shared" si="21"/>
        <v>0</v>
      </c>
      <c r="BI29" s="140">
        <f t="shared" si="21"/>
        <v>0</v>
      </c>
      <c r="BJ29" s="140">
        <f t="shared" si="21"/>
        <v>0</v>
      </c>
      <c r="BK29" s="140">
        <f t="shared" si="21"/>
        <v>0</v>
      </c>
      <c r="BL29" s="140">
        <f t="shared" si="21"/>
        <v>0</v>
      </c>
      <c r="BM29" s="140">
        <f t="shared" si="21"/>
        <v>0</v>
      </c>
      <c r="BN29" s="140">
        <f t="shared" si="21"/>
        <v>0</v>
      </c>
      <c r="BO29" s="140">
        <f t="shared" si="21"/>
        <v>0</v>
      </c>
      <c r="BP29" s="140">
        <f t="shared" si="21"/>
        <v>0</v>
      </c>
      <c r="BQ29" s="140">
        <f t="shared" ref="BQ29:EB29" si="22">IF(ISBLANK(BQ23),0,SUM(BQ25:BQ27))</f>
        <v>0</v>
      </c>
      <c r="BR29" s="140">
        <f t="shared" si="22"/>
        <v>0</v>
      </c>
      <c r="BS29" s="140">
        <f t="shared" si="22"/>
        <v>0</v>
      </c>
      <c r="BT29" s="140">
        <f t="shared" si="22"/>
        <v>0</v>
      </c>
      <c r="BU29" s="140">
        <f t="shared" si="22"/>
        <v>0</v>
      </c>
      <c r="BV29" s="140">
        <f t="shared" si="22"/>
        <v>0</v>
      </c>
      <c r="BW29" s="140">
        <f t="shared" si="22"/>
        <v>0</v>
      </c>
      <c r="BX29" s="140">
        <f t="shared" si="22"/>
        <v>0</v>
      </c>
      <c r="BY29" s="140">
        <f t="shared" si="22"/>
        <v>0</v>
      </c>
      <c r="BZ29" s="140">
        <f t="shared" si="22"/>
        <v>0</v>
      </c>
      <c r="CA29" s="140">
        <f t="shared" si="22"/>
        <v>0</v>
      </c>
      <c r="CB29" s="140">
        <f t="shared" si="22"/>
        <v>0</v>
      </c>
      <c r="CC29" s="140">
        <f t="shared" si="22"/>
        <v>0</v>
      </c>
      <c r="CD29" s="140">
        <f t="shared" si="22"/>
        <v>0</v>
      </c>
      <c r="CE29" s="140">
        <f t="shared" si="22"/>
        <v>0</v>
      </c>
      <c r="CF29" s="140">
        <f t="shared" si="22"/>
        <v>0</v>
      </c>
      <c r="CG29" s="140">
        <f t="shared" si="22"/>
        <v>0</v>
      </c>
      <c r="CH29" s="140">
        <f t="shared" si="22"/>
        <v>0</v>
      </c>
      <c r="CI29" s="140">
        <f t="shared" si="22"/>
        <v>0</v>
      </c>
      <c r="CJ29" s="140">
        <f t="shared" si="22"/>
        <v>0</v>
      </c>
      <c r="CK29" s="140">
        <f t="shared" si="22"/>
        <v>0</v>
      </c>
      <c r="CL29" s="140">
        <f t="shared" si="22"/>
        <v>0</v>
      </c>
      <c r="CM29" s="140">
        <f t="shared" si="22"/>
        <v>0</v>
      </c>
      <c r="CN29" s="140">
        <f t="shared" si="22"/>
        <v>0</v>
      </c>
      <c r="CO29" s="140">
        <f t="shared" si="22"/>
        <v>0</v>
      </c>
      <c r="CP29" s="140">
        <f t="shared" si="22"/>
        <v>0</v>
      </c>
      <c r="CQ29" s="140">
        <f t="shared" si="22"/>
        <v>0</v>
      </c>
      <c r="CR29" s="140">
        <f t="shared" si="22"/>
        <v>0</v>
      </c>
      <c r="CS29" s="140">
        <f t="shared" si="22"/>
        <v>0</v>
      </c>
      <c r="CT29" s="140">
        <f t="shared" si="22"/>
        <v>0</v>
      </c>
      <c r="CU29" s="140">
        <f t="shared" si="22"/>
        <v>0</v>
      </c>
      <c r="CV29" s="140">
        <f t="shared" si="22"/>
        <v>0</v>
      </c>
      <c r="CW29" s="140">
        <f t="shared" si="22"/>
        <v>0</v>
      </c>
      <c r="CX29" s="140">
        <f t="shared" si="22"/>
        <v>0</v>
      </c>
      <c r="CY29" s="140">
        <f t="shared" si="22"/>
        <v>0</v>
      </c>
      <c r="CZ29" s="140">
        <f t="shared" si="22"/>
        <v>0</v>
      </c>
      <c r="DA29" s="140">
        <f t="shared" si="22"/>
        <v>0</v>
      </c>
      <c r="DB29" s="140">
        <f t="shared" si="22"/>
        <v>0</v>
      </c>
      <c r="DC29" s="140">
        <f t="shared" si="22"/>
        <v>0</v>
      </c>
      <c r="DD29" s="140">
        <f t="shared" si="22"/>
        <v>0</v>
      </c>
      <c r="DE29" s="140">
        <f t="shared" si="22"/>
        <v>0</v>
      </c>
      <c r="DF29" s="140">
        <f t="shared" si="22"/>
        <v>0</v>
      </c>
      <c r="DG29" s="140">
        <f t="shared" si="22"/>
        <v>0</v>
      </c>
      <c r="DH29" s="140">
        <f t="shared" si="22"/>
        <v>0</v>
      </c>
      <c r="DI29" s="140">
        <f t="shared" si="22"/>
        <v>0</v>
      </c>
      <c r="DJ29" s="140">
        <f t="shared" si="22"/>
        <v>0</v>
      </c>
      <c r="DK29" s="140">
        <f t="shared" si="22"/>
        <v>0</v>
      </c>
      <c r="DL29" s="140">
        <f t="shared" si="22"/>
        <v>0</v>
      </c>
      <c r="DM29" s="140">
        <f t="shared" si="22"/>
        <v>0</v>
      </c>
      <c r="DN29" s="140">
        <f t="shared" si="22"/>
        <v>0</v>
      </c>
      <c r="DO29" s="140">
        <f t="shared" si="22"/>
        <v>0</v>
      </c>
      <c r="DP29" s="140">
        <f t="shared" si="22"/>
        <v>0</v>
      </c>
      <c r="DQ29" s="140">
        <f t="shared" si="22"/>
        <v>0</v>
      </c>
      <c r="DR29" s="140">
        <f t="shared" si="22"/>
        <v>0</v>
      </c>
      <c r="DS29" s="140">
        <f t="shared" si="22"/>
        <v>0</v>
      </c>
      <c r="DT29" s="140">
        <f t="shared" si="22"/>
        <v>0</v>
      </c>
      <c r="DU29" s="140">
        <f t="shared" si="22"/>
        <v>0</v>
      </c>
      <c r="DV29" s="140">
        <f t="shared" si="22"/>
        <v>0</v>
      </c>
      <c r="DW29" s="140">
        <f t="shared" si="22"/>
        <v>0</v>
      </c>
      <c r="DX29" s="140">
        <f t="shared" si="22"/>
        <v>0</v>
      </c>
      <c r="DY29" s="140">
        <f t="shared" si="22"/>
        <v>0</v>
      </c>
      <c r="DZ29" s="140">
        <f t="shared" si="22"/>
        <v>0</v>
      </c>
      <c r="EA29" s="140">
        <f t="shared" si="22"/>
        <v>0</v>
      </c>
      <c r="EB29" s="140">
        <f t="shared" si="22"/>
        <v>0</v>
      </c>
      <c r="EC29" s="140">
        <f t="shared" ref="EC29:GA29" si="23">IF(ISBLANK(EC23),0,SUM(EC25:EC27))</f>
        <v>0</v>
      </c>
      <c r="ED29" s="140">
        <f t="shared" si="23"/>
        <v>0</v>
      </c>
      <c r="EE29" s="140">
        <f t="shared" si="23"/>
        <v>0</v>
      </c>
      <c r="EF29" s="140">
        <f t="shared" si="23"/>
        <v>0</v>
      </c>
      <c r="EG29" s="140">
        <f t="shared" si="23"/>
        <v>0</v>
      </c>
      <c r="EH29" s="140">
        <f t="shared" si="23"/>
        <v>0</v>
      </c>
      <c r="EI29" s="140">
        <f t="shared" si="23"/>
        <v>0</v>
      </c>
      <c r="EJ29" s="140">
        <f t="shared" si="23"/>
        <v>0</v>
      </c>
      <c r="EK29" s="140">
        <f t="shared" si="23"/>
        <v>0</v>
      </c>
      <c r="EL29" s="140">
        <f t="shared" si="23"/>
        <v>0</v>
      </c>
      <c r="EM29" s="140">
        <f t="shared" si="23"/>
        <v>0</v>
      </c>
      <c r="EN29" s="140">
        <f t="shared" si="23"/>
        <v>0</v>
      </c>
      <c r="EO29" s="140">
        <f t="shared" si="23"/>
        <v>0</v>
      </c>
      <c r="EP29" s="140">
        <f t="shared" si="23"/>
        <v>0</v>
      </c>
      <c r="EQ29" s="140">
        <f t="shared" si="23"/>
        <v>0</v>
      </c>
      <c r="ER29" s="140">
        <f t="shared" si="23"/>
        <v>0</v>
      </c>
      <c r="ES29" s="140">
        <f t="shared" si="23"/>
        <v>0</v>
      </c>
      <c r="ET29" s="140">
        <f t="shared" si="23"/>
        <v>0</v>
      </c>
      <c r="EU29" s="140">
        <f t="shared" si="23"/>
        <v>0</v>
      </c>
      <c r="EV29" s="140">
        <f t="shared" si="23"/>
        <v>0</v>
      </c>
      <c r="EW29" s="140">
        <f t="shared" si="23"/>
        <v>0</v>
      </c>
      <c r="EX29" s="140">
        <f t="shared" si="23"/>
        <v>0</v>
      </c>
      <c r="EY29" s="140">
        <f t="shared" si="23"/>
        <v>0</v>
      </c>
      <c r="EZ29" s="140">
        <f t="shared" si="23"/>
        <v>0</v>
      </c>
      <c r="FA29" s="140">
        <f t="shared" si="23"/>
        <v>0</v>
      </c>
      <c r="FB29" s="140">
        <f t="shared" si="23"/>
        <v>0</v>
      </c>
      <c r="FC29" s="140">
        <f t="shared" si="23"/>
        <v>0</v>
      </c>
      <c r="FD29" s="140">
        <f t="shared" si="23"/>
        <v>0</v>
      </c>
      <c r="FE29" s="140">
        <f t="shared" si="23"/>
        <v>0</v>
      </c>
      <c r="FF29" s="140">
        <f t="shared" si="23"/>
        <v>0</v>
      </c>
      <c r="FG29" s="140">
        <f t="shared" si="23"/>
        <v>0</v>
      </c>
      <c r="FH29" s="140">
        <f t="shared" si="23"/>
        <v>0</v>
      </c>
      <c r="FI29" s="140">
        <f t="shared" si="23"/>
        <v>0</v>
      </c>
      <c r="FJ29" s="140">
        <f t="shared" si="23"/>
        <v>0</v>
      </c>
      <c r="FK29" s="140">
        <f t="shared" si="23"/>
        <v>0</v>
      </c>
      <c r="FL29" s="140">
        <f t="shared" si="23"/>
        <v>0</v>
      </c>
      <c r="FM29" s="140">
        <f t="shared" si="23"/>
        <v>0</v>
      </c>
      <c r="FN29" s="140">
        <f t="shared" si="23"/>
        <v>0</v>
      </c>
      <c r="FO29" s="140">
        <f t="shared" si="23"/>
        <v>0</v>
      </c>
      <c r="FP29" s="140">
        <f t="shared" si="23"/>
        <v>0</v>
      </c>
      <c r="FQ29" s="140">
        <f t="shared" si="23"/>
        <v>0</v>
      </c>
      <c r="FR29" s="140">
        <f t="shared" si="23"/>
        <v>0</v>
      </c>
      <c r="FS29" s="140">
        <f t="shared" si="23"/>
        <v>0</v>
      </c>
      <c r="FT29" s="140">
        <f t="shared" si="23"/>
        <v>0</v>
      </c>
      <c r="FU29" s="140">
        <f t="shared" si="23"/>
        <v>0</v>
      </c>
      <c r="FV29" s="140">
        <f t="shared" si="23"/>
        <v>0</v>
      </c>
      <c r="FW29" s="140">
        <f t="shared" si="23"/>
        <v>0</v>
      </c>
      <c r="FX29" s="140">
        <f t="shared" si="23"/>
        <v>0</v>
      </c>
      <c r="FY29" s="140">
        <f t="shared" si="23"/>
        <v>0</v>
      </c>
      <c r="FZ29" s="140">
        <f t="shared" si="23"/>
        <v>0</v>
      </c>
      <c r="GA29" s="140">
        <f t="shared" si="23"/>
        <v>0</v>
      </c>
      <c r="GB29" s="140">
        <f t="shared" ref="GB29:IM29" si="24">IF(ISBLANK(GB23),0,SUM(GB25:GB27))</f>
        <v>0</v>
      </c>
      <c r="GC29" s="140">
        <f t="shared" si="24"/>
        <v>0</v>
      </c>
      <c r="GD29" s="140">
        <f t="shared" si="24"/>
        <v>0</v>
      </c>
      <c r="GE29" s="140">
        <f t="shared" si="24"/>
        <v>0</v>
      </c>
      <c r="GF29" s="140">
        <f t="shared" si="24"/>
        <v>0</v>
      </c>
      <c r="GG29" s="140">
        <f t="shared" si="24"/>
        <v>0</v>
      </c>
      <c r="GH29" s="140">
        <f t="shared" si="24"/>
        <v>0</v>
      </c>
      <c r="GI29" s="140">
        <f t="shared" si="24"/>
        <v>0</v>
      </c>
      <c r="GJ29" s="140">
        <f t="shared" si="24"/>
        <v>0</v>
      </c>
      <c r="GK29" s="140">
        <f t="shared" si="24"/>
        <v>0</v>
      </c>
      <c r="GL29" s="140">
        <f t="shared" si="24"/>
        <v>0</v>
      </c>
      <c r="GM29" s="140">
        <f t="shared" si="24"/>
        <v>0</v>
      </c>
      <c r="GN29" s="140">
        <f t="shared" si="24"/>
        <v>0</v>
      </c>
      <c r="GO29" s="140">
        <f t="shared" si="24"/>
        <v>0</v>
      </c>
      <c r="GP29" s="140">
        <f t="shared" si="24"/>
        <v>0</v>
      </c>
      <c r="GQ29" s="140">
        <f t="shared" si="24"/>
        <v>0</v>
      </c>
      <c r="GR29" s="140">
        <f t="shared" si="24"/>
        <v>0</v>
      </c>
      <c r="GS29" s="140">
        <f t="shared" si="24"/>
        <v>0</v>
      </c>
      <c r="GT29" s="140">
        <f t="shared" si="24"/>
        <v>0</v>
      </c>
      <c r="GU29" s="140">
        <f t="shared" si="24"/>
        <v>0</v>
      </c>
      <c r="GV29" s="140">
        <f t="shared" si="24"/>
        <v>0</v>
      </c>
      <c r="GW29" s="140">
        <f t="shared" si="24"/>
        <v>0</v>
      </c>
      <c r="GX29" s="140">
        <f t="shared" si="24"/>
        <v>0</v>
      </c>
      <c r="GY29" s="140">
        <f t="shared" si="24"/>
        <v>0</v>
      </c>
      <c r="GZ29" s="140">
        <f t="shared" si="24"/>
        <v>0</v>
      </c>
      <c r="HA29" s="140">
        <f t="shared" si="24"/>
        <v>0</v>
      </c>
      <c r="HB29" s="140">
        <f t="shared" si="24"/>
        <v>0</v>
      </c>
      <c r="HC29" s="140">
        <f t="shared" si="24"/>
        <v>0</v>
      </c>
      <c r="HD29" s="140">
        <f t="shared" si="24"/>
        <v>0</v>
      </c>
      <c r="HE29" s="140">
        <f t="shared" si="24"/>
        <v>0</v>
      </c>
      <c r="HF29" s="140">
        <f t="shared" si="24"/>
        <v>0</v>
      </c>
      <c r="HG29" s="140">
        <f t="shared" si="24"/>
        <v>0</v>
      </c>
      <c r="HH29" s="140">
        <f t="shared" si="24"/>
        <v>0</v>
      </c>
      <c r="HI29" s="140">
        <f t="shared" si="24"/>
        <v>0</v>
      </c>
      <c r="HJ29" s="140">
        <f t="shared" si="24"/>
        <v>0</v>
      </c>
      <c r="HK29" s="140">
        <f t="shared" si="24"/>
        <v>0</v>
      </c>
      <c r="HL29" s="140">
        <f t="shared" si="24"/>
        <v>0</v>
      </c>
      <c r="HM29" s="140">
        <f t="shared" si="24"/>
        <v>0</v>
      </c>
      <c r="HN29" s="140">
        <f t="shared" si="24"/>
        <v>0</v>
      </c>
      <c r="HO29" s="140">
        <f t="shared" si="24"/>
        <v>0</v>
      </c>
      <c r="HP29" s="140">
        <f t="shared" si="24"/>
        <v>0</v>
      </c>
      <c r="HQ29" s="140">
        <f t="shared" si="24"/>
        <v>0</v>
      </c>
      <c r="HR29" s="140">
        <f t="shared" si="24"/>
        <v>0</v>
      </c>
      <c r="HS29" s="140">
        <f t="shared" si="24"/>
        <v>0</v>
      </c>
      <c r="HT29" s="140">
        <f t="shared" si="24"/>
        <v>0</v>
      </c>
      <c r="HU29" s="140">
        <f t="shared" si="24"/>
        <v>0</v>
      </c>
      <c r="HV29" s="140">
        <f t="shared" si="24"/>
        <v>0</v>
      </c>
      <c r="HW29" s="140">
        <f t="shared" si="24"/>
        <v>0</v>
      </c>
      <c r="HX29" s="140">
        <f t="shared" si="24"/>
        <v>0</v>
      </c>
      <c r="HY29" s="140">
        <f t="shared" si="24"/>
        <v>0</v>
      </c>
      <c r="HZ29" s="140">
        <f t="shared" si="24"/>
        <v>0</v>
      </c>
      <c r="IA29" s="140">
        <f t="shared" si="24"/>
        <v>0</v>
      </c>
      <c r="IB29" s="140">
        <f t="shared" si="24"/>
        <v>0</v>
      </c>
      <c r="IC29" s="140">
        <f t="shared" si="24"/>
        <v>0</v>
      </c>
      <c r="ID29" s="140">
        <f t="shared" si="24"/>
        <v>0</v>
      </c>
      <c r="IE29" s="140">
        <f t="shared" si="24"/>
        <v>0</v>
      </c>
      <c r="IF29" s="140">
        <f t="shared" si="24"/>
        <v>0</v>
      </c>
      <c r="IG29" s="140">
        <f t="shared" si="24"/>
        <v>0</v>
      </c>
      <c r="IH29" s="140">
        <f t="shared" si="24"/>
        <v>0</v>
      </c>
      <c r="II29" s="140">
        <f t="shared" si="24"/>
        <v>0</v>
      </c>
      <c r="IJ29" s="140">
        <f t="shared" si="24"/>
        <v>0</v>
      </c>
      <c r="IK29" s="140">
        <f t="shared" si="24"/>
        <v>0</v>
      </c>
      <c r="IL29" s="140">
        <f t="shared" si="24"/>
        <v>0</v>
      </c>
      <c r="IM29" s="140">
        <f t="shared" si="24"/>
        <v>0</v>
      </c>
      <c r="IN29" s="140">
        <f t="shared" ref="IN29:IZ29" si="25">IF(ISBLANK(IN23),0,SUM(IN25:IN27))</f>
        <v>0</v>
      </c>
      <c r="IO29" s="140">
        <f t="shared" si="25"/>
        <v>0</v>
      </c>
      <c r="IP29" s="140">
        <f t="shared" si="25"/>
        <v>0</v>
      </c>
      <c r="IQ29" s="140">
        <f t="shared" si="25"/>
        <v>0</v>
      </c>
      <c r="IR29" s="140">
        <f t="shared" si="25"/>
        <v>0</v>
      </c>
      <c r="IS29" s="140">
        <f t="shared" si="25"/>
        <v>0</v>
      </c>
      <c r="IT29" s="140">
        <f t="shared" si="25"/>
        <v>0</v>
      </c>
      <c r="IU29" s="140">
        <f t="shared" si="25"/>
        <v>0</v>
      </c>
      <c r="IV29" s="140">
        <f t="shared" si="25"/>
        <v>0</v>
      </c>
      <c r="IW29" s="140">
        <f t="shared" si="25"/>
        <v>0</v>
      </c>
      <c r="IX29" s="140">
        <f t="shared" si="25"/>
        <v>0</v>
      </c>
      <c r="IY29" s="140">
        <f t="shared" si="25"/>
        <v>0</v>
      </c>
      <c r="IZ29" s="140">
        <f t="shared" si="25"/>
        <v>0</v>
      </c>
    </row>
    <row r="30" spans="1:260" s="143" customFormat="1" ht="12.75" customHeight="1" x14ac:dyDescent="0.25">
      <c r="A30" s="215">
        <v>335</v>
      </c>
      <c r="B30" s="138"/>
      <c r="C30" s="139" t="s">
        <v>83</v>
      </c>
      <c r="D30" s="142">
        <f>IF(ISBLANK(D18),0,(D29/D18/10))</f>
        <v>24.8</v>
      </c>
      <c r="E30" s="142">
        <f t="shared" ref="E30:BP30" si="26">IF(ISBLANK(E18),0,(E29/E18/10))</f>
        <v>23.91764705882353</v>
      </c>
      <c r="F30" s="142">
        <f t="shared" si="26"/>
        <v>28.133333333333333</v>
      </c>
      <c r="G30" s="142">
        <f t="shared" si="26"/>
        <v>23.91764705882353</v>
      </c>
      <c r="H30" s="142">
        <f t="shared" si="26"/>
        <v>24.407843137254904</v>
      </c>
      <c r="I30" s="142">
        <f t="shared" si="26"/>
        <v>24.407843137254904</v>
      </c>
      <c r="J30" s="142">
        <f t="shared" si="26"/>
        <v>24.8</v>
      </c>
      <c r="K30" s="142">
        <f t="shared" si="26"/>
        <v>24.8</v>
      </c>
      <c r="L30" s="142">
        <f t="shared" si="26"/>
        <v>25.192156862745097</v>
      </c>
      <c r="M30" s="142">
        <f t="shared" si="26"/>
        <v>22.883333333333333</v>
      </c>
      <c r="N30" s="142">
        <f t="shared" si="26"/>
        <v>25.112500000000001</v>
      </c>
      <c r="O30" s="142">
        <f t="shared" si="26"/>
        <v>23.883333333333333</v>
      </c>
      <c r="P30" s="142">
        <f t="shared" si="26"/>
        <v>24.564705882352943</v>
      </c>
      <c r="Q30" s="142">
        <f t="shared" si="26"/>
        <v>24.7</v>
      </c>
      <c r="R30" s="142">
        <f t="shared" si="26"/>
        <v>24.407843137254904</v>
      </c>
      <c r="S30" s="142">
        <f t="shared" si="26"/>
        <v>24.146405228758169</v>
      </c>
      <c r="T30" s="142">
        <f t="shared" si="26"/>
        <v>24.407843137254904</v>
      </c>
      <c r="U30" s="142">
        <f t="shared" si="26"/>
        <v>24.8</v>
      </c>
      <c r="V30" s="142">
        <f t="shared" si="26"/>
        <v>26.368627450980391</v>
      </c>
      <c r="W30" s="142">
        <f t="shared" si="26"/>
        <v>24.95</v>
      </c>
      <c r="X30" s="142">
        <f t="shared" si="26"/>
        <v>24.95</v>
      </c>
      <c r="Y30" s="142">
        <f t="shared" si="26"/>
        <v>26.251612903225805</v>
      </c>
      <c r="Z30" s="142">
        <f t="shared" si="26"/>
        <v>25.192156862745097</v>
      </c>
      <c r="AA30" s="142">
        <f t="shared" si="26"/>
        <v>28.133333333333333</v>
      </c>
      <c r="AB30" s="142">
        <f t="shared" si="26"/>
        <v>28.133333333333333</v>
      </c>
      <c r="AC30" s="142">
        <f t="shared" si="26"/>
        <v>24.407843137254904</v>
      </c>
      <c r="AD30" s="142">
        <f t="shared" si="26"/>
        <v>25.192156862745097</v>
      </c>
      <c r="AE30" s="142">
        <f t="shared" si="26"/>
        <v>23.883333333333333</v>
      </c>
      <c r="AF30" s="142">
        <f t="shared" si="26"/>
        <v>23.216666666666665</v>
      </c>
      <c r="AG30" s="142">
        <f t="shared" si="26"/>
        <v>24.95</v>
      </c>
      <c r="AH30" s="142">
        <f t="shared" si="26"/>
        <v>23.10377358490566</v>
      </c>
      <c r="AI30" s="142">
        <f t="shared" si="26"/>
        <v>24.8</v>
      </c>
      <c r="AJ30" s="142">
        <f t="shared" si="26"/>
        <v>25.976470588235294</v>
      </c>
      <c r="AK30" s="142">
        <f t="shared" si="26"/>
        <v>25.192156862745097</v>
      </c>
      <c r="AL30" s="142">
        <f t="shared" si="26"/>
        <v>25.976470588235294</v>
      </c>
      <c r="AM30" s="142">
        <f t="shared" si="26"/>
        <v>26.366265060240966</v>
      </c>
      <c r="AN30" s="142">
        <f t="shared" si="26"/>
        <v>24.371428571428574</v>
      </c>
      <c r="AO30" s="142">
        <f t="shared" si="26"/>
        <v>22.883333333333333</v>
      </c>
      <c r="AP30" s="142">
        <f t="shared" si="26"/>
        <v>22.55</v>
      </c>
      <c r="AQ30" s="142">
        <f t="shared" si="26"/>
        <v>25.112500000000001</v>
      </c>
      <c r="AR30" s="142">
        <f t="shared" si="26"/>
        <v>25.112500000000001</v>
      </c>
      <c r="AS30" s="142">
        <f t="shared" si="26"/>
        <v>25.274999999999999</v>
      </c>
      <c r="AT30" s="142">
        <f t="shared" si="26"/>
        <v>0</v>
      </c>
      <c r="AU30" s="142">
        <f t="shared" si="26"/>
        <v>0</v>
      </c>
      <c r="AV30" s="142">
        <f t="shared" si="26"/>
        <v>0</v>
      </c>
      <c r="AW30" s="142">
        <f t="shared" si="26"/>
        <v>0</v>
      </c>
      <c r="AX30" s="142">
        <f t="shared" si="26"/>
        <v>0</v>
      </c>
      <c r="AY30" s="142">
        <f t="shared" si="26"/>
        <v>0</v>
      </c>
      <c r="AZ30" s="142">
        <f t="shared" si="26"/>
        <v>0</v>
      </c>
      <c r="BA30" s="142">
        <f t="shared" si="26"/>
        <v>0</v>
      </c>
      <c r="BB30" s="142">
        <f t="shared" si="26"/>
        <v>0</v>
      </c>
      <c r="BC30" s="142">
        <f t="shared" si="26"/>
        <v>0</v>
      </c>
      <c r="BD30" s="142">
        <f t="shared" si="26"/>
        <v>0</v>
      </c>
      <c r="BE30" s="142">
        <f t="shared" si="26"/>
        <v>0</v>
      </c>
      <c r="BF30" s="142">
        <f t="shared" si="26"/>
        <v>0</v>
      </c>
      <c r="BG30" s="142">
        <f t="shared" si="26"/>
        <v>0</v>
      </c>
      <c r="BH30" s="142">
        <f t="shared" si="26"/>
        <v>0</v>
      </c>
      <c r="BI30" s="142">
        <f t="shared" si="26"/>
        <v>0</v>
      </c>
      <c r="BJ30" s="142">
        <f t="shared" si="26"/>
        <v>0</v>
      </c>
      <c r="BK30" s="142">
        <f t="shared" si="26"/>
        <v>0</v>
      </c>
      <c r="BL30" s="142">
        <f t="shared" si="26"/>
        <v>0</v>
      </c>
      <c r="BM30" s="142">
        <f t="shared" si="26"/>
        <v>0</v>
      </c>
      <c r="BN30" s="142">
        <f t="shared" si="26"/>
        <v>0</v>
      </c>
      <c r="BO30" s="142">
        <f t="shared" si="26"/>
        <v>0</v>
      </c>
      <c r="BP30" s="142">
        <f t="shared" si="26"/>
        <v>0</v>
      </c>
      <c r="BQ30" s="142">
        <f t="shared" ref="BQ30:EB30" si="27">IF(ISBLANK(BQ18),0,(BQ29/BQ18/10))</f>
        <v>0</v>
      </c>
      <c r="BR30" s="142">
        <f t="shared" si="27"/>
        <v>0</v>
      </c>
      <c r="BS30" s="142">
        <f t="shared" si="27"/>
        <v>0</v>
      </c>
      <c r="BT30" s="142">
        <f t="shared" si="27"/>
        <v>0</v>
      </c>
      <c r="BU30" s="142">
        <f t="shared" si="27"/>
        <v>0</v>
      </c>
      <c r="BV30" s="142">
        <f t="shared" si="27"/>
        <v>0</v>
      </c>
      <c r="BW30" s="142">
        <f t="shared" si="27"/>
        <v>0</v>
      </c>
      <c r="BX30" s="142">
        <f t="shared" si="27"/>
        <v>0</v>
      </c>
      <c r="BY30" s="142">
        <f t="shared" si="27"/>
        <v>0</v>
      </c>
      <c r="BZ30" s="142">
        <f t="shared" si="27"/>
        <v>0</v>
      </c>
      <c r="CA30" s="142">
        <f t="shared" si="27"/>
        <v>0</v>
      </c>
      <c r="CB30" s="142">
        <f t="shared" si="27"/>
        <v>0</v>
      </c>
      <c r="CC30" s="142">
        <f t="shared" si="27"/>
        <v>0</v>
      </c>
      <c r="CD30" s="142">
        <f t="shared" si="27"/>
        <v>0</v>
      </c>
      <c r="CE30" s="142">
        <f t="shared" si="27"/>
        <v>0</v>
      </c>
      <c r="CF30" s="142">
        <f t="shared" si="27"/>
        <v>0</v>
      </c>
      <c r="CG30" s="142">
        <f t="shared" si="27"/>
        <v>0</v>
      </c>
      <c r="CH30" s="142">
        <f t="shared" si="27"/>
        <v>0</v>
      </c>
      <c r="CI30" s="142">
        <f t="shared" si="27"/>
        <v>0</v>
      </c>
      <c r="CJ30" s="142">
        <f t="shared" si="27"/>
        <v>0</v>
      </c>
      <c r="CK30" s="142">
        <f t="shared" si="27"/>
        <v>0</v>
      </c>
      <c r="CL30" s="142">
        <f t="shared" si="27"/>
        <v>0</v>
      </c>
      <c r="CM30" s="142">
        <f t="shared" si="27"/>
        <v>0</v>
      </c>
      <c r="CN30" s="142">
        <f t="shared" si="27"/>
        <v>0</v>
      </c>
      <c r="CO30" s="142">
        <f t="shared" si="27"/>
        <v>0</v>
      </c>
      <c r="CP30" s="142">
        <f t="shared" si="27"/>
        <v>0</v>
      </c>
      <c r="CQ30" s="142">
        <f t="shared" si="27"/>
        <v>0</v>
      </c>
      <c r="CR30" s="142">
        <f t="shared" si="27"/>
        <v>0</v>
      </c>
      <c r="CS30" s="142">
        <f t="shared" si="27"/>
        <v>0</v>
      </c>
      <c r="CT30" s="142">
        <f t="shared" si="27"/>
        <v>0</v>
      </c>
      <c r="CU30" s="142">
        <f t="shared" si="27"/>
        <v>0</v>
      </c>
      <c r="CV30" s="142">
        <f t="shared" si="27"/>
        <v>0</v>
      </c>
      <c r="CW30" s="142">
        <f t="shared" si="27"/>
        <v>0</v>
      </c>
      <c r="CX30" s="142">
        <f t="shared" si="27"/>
        <v>0</v>
      </c>
      <c r="CY30" s="142">
        <f t="shared" si="27"/>
        <v>0</v>
      </c>
      <c r="CZ30" s="142">
        <f t="shared" si="27"/>
        <v>0</v>
      </c>
      <c r="DA30" s="142">
        <f t="shared" si="27"/>
        <v>0</v>
      </c>
      <c r="DB30" s="142">
        <f t="shared" si="27"/>
        <v>0</v>
      </c>
      <c r="DC30" s="142">
        <f t="shared" si="27"/>
        <v>0</v>
      </c>
      <c r="DD30" s="142">
        <f t="shared" si="27"/>
        <v>0</v>
      </c>
      <c r="DE30" s="142">
        <f t="shared" si="27"/>
        <v>0</v>
      </c>
      <c r="DF30" s="142">
        <f t="shared" si="27"/>
        <v>0</v>
      </c>
      <c r="DG30" s="142">
        <f t="shared" si="27"/>
        <v>0</v>
      </c>
      <c r="DH30" s="142">
        <f t="shared" si="27"/>
        <v>0</v>
      </c>
      <c r="DI30" s="142">
        <f t="shared" si="27"/>
        <v>0</v>
      </c>
      <c r="DJ30" s="142">
        <f t="shared" si="27"/>
        <v>0</v>
      </c>
      <c r="DK30" s="142">
        <f t="shared" si="27"/>
        <v>0</v>
      </c>
      <c r="DL30" s="142">
        <f t="shared" si="27"/>
        <v>0</v>
      </c>
      <c r="DM30" s="142">
        <f t="shared" si="27"/>
        <v>0</v>
      </c>
      <c r="DN30" s="142">
        <f t="shared" si="27"/>
        <v>0</v>
      </c>
      <c r="DO30" s="142">
        <f t="shared" si="27"/>
        <v>0</v>
      </c>
      <c r="DP30" s="142">
        <f t="shared" si="27"/>
        <v>0</v>
      </c>
      <c r="DQ30" s="142">
        <f t="shared" si="27"/>
        <v>0</v>
      </c>
      <c r="DR30" s="142">
        <f t="shared" si="27"/>
        <v>0</v>
      </c>
      <c r="DS30" s="142">
        <f t="shared" si="27"/>
        <v>0</v>
      </c>
      <c r="DT30" s="142">
        <f t="shared" si="27"/>
        <v>0</v>
      </c>
      <c r="DU30" s="142">
        <f t="shared" si="27"/>
        <v>0</v>
      </c>
      <c r="DV30" s="142">
        <f t="shared" si="27"/>
        <v>0</v>
      </c>
      <c r="DW30" s="142">
        <f t="shared" si="27"/>
        <v>0</v>
      </c>
      <c r="DX30" s="142">
        <f t="shared" si="27"/>
        <v>0</v>
      </c>
      <c r="DY30" s="142">
        <f t="shared" si="27"/>
        <v>0</v>
      </c>
      <c r="DZ30" s="142">
        <f t="shared" si="27"/>
        <v>0</v>
      </c>
      <c r="EA30" s="142">
        <f t="shared" si="27"/>
        <v>0</v>
      </c>
      <c r="EB30" s="142">
        <f t="shared" si="27"/>
        <v>0</v>
      </c>
      <c r="EC30" s="142">
        <f t="shared" ref="EC30:GA30" si="28">IF(ISBLANK(EC18),0,(EC29/EC18/10))</f>
        <v>0</v>
      </c>
      <c r="ED30" s="142">
        <f t="shared" si="28"/>
        <v>0</v>
      </c>
      <c r="EE30" s="142">
        <f t="shared" si="28"/>
        <v>0</v>
      </c>
      <c r="EF30" s="142">
        <f t="shared" si="28"/>
        <v>0</v>
      </c>
      <c r="EG30" s="142">
        <f t="shared" si="28"/>
        <v>0</v>
      </c>
      <c r="EH30" s="142">
        <f t="shared" si="28"/>
        <v>0</v>
      </c>
      <c r="EI30" s="142">
        <f t="shared" si="28"/>
        <v>0</v>
      </c>
      <c r="EJ30" s="142">
        <f t="shared" si="28"/>
        <v>0</v>
      </c>
      <c r="EK30" s="142">
        <f t="shared" si="28"/>
        <v>0</v>
      </c>
      <c r="EL30" s="142">
        <f t="shared" si="28"/>
        <v>0</v>
      </c>
      <c r="EM30" s="142">
        <f t="shared" si="28"/>
        <v>0</v>
      </c>
      <c r="EN30" s="142">
        <f t="shared" si="28"/>
        <v>0</v>
      </c>
      <c r="EO30" s="142">
        <f t="shared" si="28"/>
        <v>0</v>
      </c>
      <c r="EP30" s="142">
        <f t="shared" si="28"/>
        <v>0</v>
      </c>
      <c r="EQ30" s="142">
        <f t="shared" si="28"/>
        <v>0</v>
      </c>
      <c r="ER30" s="142">
        <f t="shared" si="28"/>
        <v>0</v>
      </c>
      <c r="ES30" s="142">
        <f t="shared" si="28"/>
        <v>0</v>
      </c>
      <c r="ET30" s="142">
        <f t="shared" si="28"/>
        <v>0</v>
      </c>
      <c r="EU30" s="142">
        <f t="shared" si="28"/>
        <v>0</v>
      </c>
      <c r="EV30" s="142">
        <f t="shared" si="28"/>
        <v>0</v>
      </c>
      <c r="EW30" s="142">
        <f t="shared" si="28"/>
        <v>0</v>
      </c>
      <c r="EX30" s="142">
        <f t="shared" si="28"/>
        <v>0</v>
      </c>
      <c r="EY30" s="142">
        <f t="shared" si="28"/>
        <v>0</v>
      </c>
      <c r="EZ30" s="142">
        <f t="shared" si="28"/>
        <v>0</v>
      </c>
      <c r="FA30" s="142">
        <f t="shared" si="28"/>
        <v>0</v>
      </c>
      <c r="FB30" s="142">
        <f t="shared" si="28"/>
        <v>0</v>
      </c>
      <c r="FC30" s="142">
        <f t="shared" si="28"/>
        <v>0</v>
      </c>
      <c r="FD30" s="142">
        <f t="shared" si="28"/>
        <v>0</v>
      </c>
      <c r="FE30" s="142">
        <f t="shared" si="28"/>
        <v>0</v>
      </c>
      <c r="FF30" s="142">
        <f t="shared" si="28"/>
        <v>0</v>
      </c>
      <c r="FG30" s="142">
        <f t="shared" si="28"/>
        <v>0</v>
      </c>
      <c r="FH30" s="142">
        <f t="shared" si="28"/>
        <v>0</v>
      </c>
      <c r="FI30" s="142">
        <f t="shared" si="28"/>
        <v>0</v>
      </c>
      <c r="FJ30" s="142">
        <f t="shared" si="28"/>
        <v>0</v>
      </c>
      <c r="FK30" s="142">
        <f t="shared" si="28"/>
        <v>0</v>
      </c>
      <c r="FL30" s="142">
        <f t="shared" si="28"/>
        <v>0</v>
      </c>
      <c r="FM30" s="142">
        <f t="shared" si="28"/>
        <v>0</v>
      </c>
      <c r="FN30" s="142">
        <f t="shared" si="28"/>
        <v>0</v>
      </c>
      <c r="FO30" s="142">
        <f t="shared" si="28"/>
        <v>0</v>
      </c>
      <c r="FP30" s="142">
        <f t="shared" si="28"/>
        <v>0</v>
      </c>
      <c r="FQ30" s="142">
        <f t="shared" si="28"/>
        <v>0</v>
      </c>
      <c r="FR30" s="142">
        <f t="shared" si="28"/>
        <v>0</v>
      </c>
      <c r="FS30" s="142">
        <f t="shared" si="28"/>
        <v>0</v>
      </c>
      <c r="FT30" s="142">
        <f t="shared" si="28"/>
        <v>0</v>
      </c>
      <c r="FU30" s="142">
        <f t="shared" si="28"/>
        <v>0</v>
      </c>
      <c r="FV30" s="142">
        <f t="shared" si="28"/>
        <v>0</v>
      </c>
      <c r="FW30" s="142">
        <f t="shared" si="28"/>
        <v>0</v>
      </c>
      <c r="FX30" s="142">
        <f t="shared" si="28"/>
        <v>0</v>
      </c>
      <c r="FY30" s="142">
        <f t="shared" si="28"/>
        <v>0</v>
      </c>
      <c r="FZ30" s="142">
        <f t="shared" si="28"/>
        <v>0</v>
      </c>
      <c r="GA30" s="142">
        <f t="shared" si="28"/>
        <v>0</v>
      </c>
      <c r="GB30" s="142">
        <f t="shared" ref="GB30:IM30" si="29">IF(ISBLANK(GB18),0,(GB29/GB18/10))</f>
        <v>0</v>
      </c>
      <c r="GC30" s="142">
        <f t="shared" si="29"/>
        <v>0</v>
      </c>
      <c r="GD30" s="142">
        <f t="shared" si="29"/>
        <v>0</v>
      </c>
      <c r="GE30" s="142">
        <f t="shared" si="29"/>
        <v>0</v>
      </c>
      <c r="GF30" s="142">
        <f t="shared" si="29"/>
        <v>0</v>
      </c>
      <c r="GG30" s="142">
        <f t="shared" si="29"/>
        <v>0</v>
      </c>
      <c r="GH30" s="142">
        <f t="shared" si="29"/>
        <v>0</v>
      </c>
      <c r="GI30" s="142">
        <f t="shared" si="29"/>
        <v>0</v>
      </c>
      <c r="GJ30" s="142">
        <f t="shared" si="29"/>
        <v>0</v>
      </c>
      <c r="GK30" s="142">
        <f t="shared" si="29"/>
        <v>0</v>
      </c>
      <c r="GL30" s="142">
        <f t="shared" si="29"/>
        <v>0</v>
      </c>
      <c r="GM30" s="142">
        <f t="shared" si="29"/>
        <v>0</v>
      </c>
      <c r="GN30" s="142">
        <f t="shared" si="29"/>
        <v>0</v>
      </c>
      <c r="GO30" s="142">
        <f t="shared" si="29"/>
        <v>0</v>
      </c>
      <c r="GP30" s="142">
        <f t="shared" si="29"/>
        <v>0</v>
      </c>
      <c r="GQ30" s="142">
        <f t="shared" si="29"/>
        <v>0</v>
      </c>
      <c r="GR30" s="142">
        <f t="shared" si="29"/>
        <v>0</v>
      </c>
      <c r="GS30" s="142">
        <f t="shared" si="29"/>
        <v>0</v>
      </c>
      <c r="GT30" s="142">
        <f t="shared" si="29"/>
        <v>0</v>
      </c>
      <c r="GU30" s="142">
        <f t="shared" si="29"/>
        <v>0</v>
      </c>
      <c r="GV30" s="142">
        <f t="shared" si="29"/>
        <v>0</v>
      </c>
      <c r="GW30" s="142">
        <f t="shared" si="29"/>
        <v>0</v>
      </c>
      <c r="GX30" s="142">
        <f t="shared" si="29"/>
        <v>0</v>
      </c>
      <c r="GY30" s="142">
        <f t="shared" si="29"/>
        <v>0</v>
      </c>
      <c r="GZ30" s="142">
        <f t="shared" si="29"/>
        <v>0</v>
      </c>
      <c r="HA30" s="142">
        <f t="shared" si="29"/>
        <v>0</v>
      </c>
      <c r="HB30" s="142">
        <f t="shared" si="29"/>
        <v>0</v>
      </c>
      <c r="HC30" s="142">
        <f t="shared" si="29"/>
        <v>0</v>
      </c>
      <c r="HD30" s="142">
        <f t="shared" si="29"/>
        <v>0</v>
      </c>
      <c r="HE30" s="142">
        <f t="shared" si="29"/>
        <v>0</v>
      </c>
      <c r="HF30" s="142">
        <f t="shared" si="29"/>
        <v>0</v>
      </c>
      <c r="HG30" s="142">
        <f t="shared" si="29"/>
        <v>0</v>
      </c>
      <c r="HH30" s="142">
        <f t="shared" si="29"/>
        <v>0</v>
      </c>
      <c r="HI30" s="142">
        <f t="shared" si="29"/>
        <v>0</v>
      </c>
      <c r="HJ30" s="142">
        <f t="shared" si="29"/>
        <v>0</v>
      </c>
      <c r="HK30" s="142">
        <f t="shared" si="29"/>
        <v>0</v>
      </c>
      <c r="HL30" s="142">
        <f t="shared" si="29"/>
        <v>0</v>
      </c>
      <c r="HM30" s="142">
        <f t="shared" si="29"/>
        <v>0</v>
      </c>
      <c r="HN30" s="142">
        <f t="shared" si="29"/>
        <v>0</v>
      </c>
      <c r="HO30" s="142">
        <f t="shared" si="29"/>
        <v>0</v>
      </c>
      <c r="HP30" s="142">
        <f t="shared" si="29"/>
        <v>0</v>
      </c>
      <c r="HQ30" s="142">
        <f t="shared" si="29"/>
        <v>0</v>
      </c>
      <c r="HR30" s="142">
        <f t="shared" si="29"/>
        <v>0</v>
      </c>
      <c r="HS30" s="142">
        <f t="shared" si="29"/>
        <v>0</v>
      </c>
      <c r="HT30" s="142">
        <f t="shared" si="29"/>
        <v>0</v>
      </c>
      <c r="HU30" s="142">
        <f t="shared" si="29"/>
        <v>0</v>
      </c>
      <c r="HV30" s="142">
        <f t="shared" si="29"/>
        <v>0</v>
      </c>
      <c r="HW30" s="142">
        <f t="shared" si="29"/>
        <v>0</v>
      </c>
      <c r="HX30" s="142">
        <f t="shared" si="29"/>
        <v>0</v>
      </c>
      <c r="HY30" s="142">
        <f t="shared" si="29"/>
        <v>0</v>
      </c>
      <c r="HZ30" s="142">
        <f t="shared" si="29"/>
        <v>0</v>
      </c>
      <c r="IA30" s="142">
        <f t="shared" si="29"/>
        <v>0</v>
      </c>
      <c r="IB30" s="142">
        <f t="shared" si="29"/>
        <v>0</v>
      </c>
      <c r="IC30" s="142">
        <f t="shared" si="29"/>
        <v>0</v>
      </c>
      <c r="ID30" s="142">
        <f t="shared" si="29"/>
        <v>0</v>
      </c>
      <c r="IE30" s="142">
        <f t="shared" si="29"/>
        <v>0</v>
      </c>
      <c r="IF30" s="142">
        <f t="shared" si="29"/>
        <v>0</v>
      </c>
      <c r="IG30" s="142">
        <f t="shared" si="29"/>
        <v>0</v>
      </c>
      <c r="IH30" s="142">
        <f t="shared" si="29"/>
        <v>0</v>
      </c>
      <c r="II30" s="142">
        <f t="shared" si="29"/>
        <v>0</v>
      </c>
      <c r="IJ30" s="142">
        <f t="shared" si="29"/>
        <v>0</v>
      </c>
      <c r="IK30" s="142">
        <f t="shared" si="29"/>
        <v>0</v>
      </c>
      <c r="IL30" s="142">
        <f t="shared" si="29"/>
        <v>0</v>
      </c>
      <c r="IM30" s="142">
        <f t="shared" si="29"/>
        <v>0</v>
      </c>
      <c r="IN30" s="142">
        <f t="shared" ref="IN30:IZ30" si="30">IF(ISBLANK(IN18),0,(IN29/IN18/10))</f>
        <v>0</v>
      </c>
      <c r="IO30" s="142">
        <f t="shared" si="30"/>
        <v>0</v>
      </c>
      <c r="IP30" s="142">
        <f t="shared" si="30"/>
        <v>0</v>
      </c>
      <c r="IQ30" s="142">
        <f t="shared" si="30"/>
        <v>0</v>
      </c>
      <c r="IR30" s="142">
        <f t="shared" si="30"/>
        <v>0</v>
      </c>
      <c r="IS30" s="142">
        <f t="shared" si="30"/>
        <v>0</v>
      </c>
      <c r="IT30" s="142">
        <f t="shared" si="30"/>
        <v>0</v>
      </c>
      <c r="IU30" s="142">
        <f t="shared" si="30"/>
        <v>0</v>
      </c>
      <c r="IV30" s="142">
        <f t="shared" si="30"/>
        <v>0</v>
      </c>
      <c r="IW30" s="142">
        <f t="shared" si="30"/>
        <v>0</v>
      </c>
      <c r="IX30" s="142">
        <f t="shared" si="30"/>
        <v>0</v>
      </c>
      <c r="IY30" s="142">
        <f t="shared" si="30"/>
        <v>0</v>
      </c>
      <c r="IZ30" s="142">
        <f t="shared" si="30"/>
        <v>0</v>
      </c>
    </row>
    <row r="31" spans="1:260" ht="12.95" customHeight="1" x14ac:dyDescent="0.25">
      <c r="GB31" s="141"/>
    </row>
    <row r="32" spans="1:260" ht="12.95" hidden="1" customHeight="1" x14ac:dyDescent="0.25">
      <c r="GB32" s="143"/>
    </row>
    <row r="33" spans="2:5" ht="12.95" hidden="1" customHeight="1" x14ac:dyDescent="0.25"/>
    <row r="34" spans="2:5" ht="12.95" hidden="1" customHeight="1" x14ac:dyDescent="0.25"/>
    <row r="35" spans="2:5" ht="12.95" hidden="1" customHeight="1" x14ac:dyDescent="0.25">
      <c r="B35" s="144" t="s">
        <v>59</v>
      </c>
      <c r="C35" s="144" t="s">
        <v>234</v>
      </c>
      <c r="D35" s="144" t="s">
        <v>60</v>
      </c>
      <c r="E35" s="144" t="s">
        <v>235</v>
      </c>
    </row>
    <row r="36" spans="2:5" ht="12.95" hidden="1" customHeight="1" x14ac:dyDescent="0.25">
      <c r="B36" s="144" t="str">
        <f>"T 1: "&amp;Eing_Abnehmerart1</f>
        <v>T 1: bis 50 kW</v>
      </c>
      <c r="C36" s="144">
        <f>Eing_Arbeitspreis1</f>
        <v>0.1</v>
      </c>
      <c r="D36" s="144">
        <f>Eing_Leistungspreis1</f>
        <v>250</v>
      </c>
      <c r="E36" s="144">
        <f>Eing_Vertragslaufzeit1</f>
        <v>20</v>
      </c>
    </row>
    <row r="37" spans="2:5" ht="12.95" hidden="1" customHeight="1" x14ac:dyDescent="0.25">
      <c r="B37" s="144" t="str">
        <f>"T 2: "&amp;Eing_Abnehmerart2</f>
        <v>T 2: 51-100</v>
      </c>
      <c r="C37" s="144">
        <f>Eing_Arbeitspreis2</f>
        <v>0.1</v>
      </c>
      <c r="D37" s="144">
        <f>Eing_Leistungspreis2</f>
        <v>230</v>
      </c>
      <c r="E37" s="144">
        <f>Eing_Vertragslaufzeit2</f>
        <v>20</v>
      </c>
    </row>
    <row r="38" spans="2:5" ht="12.95" hidden="1" customHeight="1" x14ac:dyDescent="0.25">
      <c r="B38" s="144" t="str">
        <f>"T 3: "&amp;Eing_Abnehmerart3</f>
        <v>T 3: 101-500</v>
      </c>
      <c r="C38" s="144">
        <f>Eing_Arbeitspreis3</f>
        <v>0.1</v>
      </c>
      <c r="D38" s="144">
        <f>Eing_Leistungspreis3</f>
        <v>215</v>
      </c>
      <c r="E38" s="144">
        <f>Eing_Vertragslaufzeit3</f>
        <v>20</v>
      </c>
    </row>
    <row r="39" spans="2:5" ht="12.95" hidden="1" customHeight="1" x14ac:dyDescent="0.25">
      <c r="B39" s="144" t="str">
        <f>"T 4: "&amp;Eing_Abnehmerart4</f>
        <v>T 4: über 500</v>
      </c>
      <c r="C39" s="144">
        <f>Eing_Arbeitspreis4</f>
        <v>0.1</v>
      </c>
      <c r="D39" s="144">
        <f>Eing_Leistungspreis4</f>
        <v>200</v>
      </c>
      <c r="E39" s="144">
        <f>Eing_Vertragslaufzeit4</f>
        <v>20</v>
      </c>
    </row>
    <row r="40" spans="2:5" hidden="1" x14ac:dyDescent="0.25">
      <c r="B40" s="144" t="str">
        <f>"T 5: "&amp;Eing_Abnehmerart5</f>
        <v xml:space="preserve">T 5: </v>
      </c>
      <c r="C40" s="144">
        <f>Eing_Arbeitspreis5</f>
        <v>0</v>
      </c>
      <c r="D40" s="144">
        <f>Eing_Leistungspreis5</f>
        <v>0</v>
      </c>
      <c r="E40" s="144">
        <f>Eing_Vertragslaufzeit5</f>
        <v>0</v>
      </c>
    </row>
    <row r="41" spans="2:5" hidden="1" x14ac:dyDescent="0.25">
      <c r="B41" s="144" t="str">
        <f>"T 6: "&amp;Eing_Abnehmerart6</f>
        <v xml:space="preserve">T 6: </v>
      </c>
      <c r="C41" s="144">
        <f>Eing_Arbeitspreis6</f>
        <v>0</v>
      </c>
      <c r="D41" s="144">
        <f>Eing_Leistungspreis6</f>
        <v>0</v>
      </c>
      <c r="E41" s="144">
        <f>Eing_Vertragslaufzeit6</f>
        <v>0</v>
      </c>
    </row>
  </sheetData>
  <sheetProtection algorithmName="SHA-512" hashValue="HX+mZNOzTIN2oBcvX9I1oTMRoKAh0QMALe9lSBkUNcb1RtiqNMsHdFqjJ9oQKf0ETzTDTxXc47bVNNHa6TL82Q==" saltValue="jcvGNlcb1LRcNRWH13vgfg==" spinCount="100000" sheet="1" objects="1" scenarios="1"/>
  <conditionalFormatting sqref="D20:IZ20">
    <cfRule type="cellIs" dxfId="9" priority="1" operator="greaterThan">
      <formula>1</formula>
    </cfRule>
  </conditionalFormatting>
  <conditionalFormatting sqref="D22:IZ22">
    <cfRule type="expression" dxfId="8" priority="2">
      <formula>AND(NOT(D21=0),ISBLANK(D22))</formula>
    </cfRule>
  </conditionalFormatting>
  <conditionalFormatting sqref="D28:IZ30">
    <cfRule type="expression" dxfId="7"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workbookViewId="0">
      <selection activeCell="G16" sqref="G16"/>
    </sheetView>
  </sheetViews>
  <sheetFormatPr baseColWidth="10" defaultColWidth="0" defaultRowHeight="12.75" zeroHeight="1" x14ac:dyDescent="0.2"/>
  <cols>
    <col min="1" max="1" width="5.7109375" style="45" customWidth="1"/>
    <col min="2" max="2" width="5.7109375" style="1" customWidth="1"/>
    <col min="3" max="3" width="11.7109375" style="1" customWidth="1"/>
    <col min="4" max="4" width="8.7109375" style="1" customWidth="1"/>
    <col min="5" max="12" width="11.710937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211">
        <v>500</v>
      </c>
      <c r="B1" s="180" t="s">
        <v>73</v>
      </c>
      <c r="C1" s="5"/>
    </row>
    <row r="2" spans="1:35" ht="6" customHeight="1" x14ac:dyDescent="0.2"/>
    <row r="3" spans="1:35" ht="12.95" customHeight="1" x14ac:dyDescent="0.2">
      <c r="A3" s="214" t="s">
        <v>398</v>
      </c>
      <c r="D3" s="349" t="s">
        <v>4</v>
      </c>
      <c r="E3" s="349"/>
      <c r="F3" s="349"/>
      <c r="G3" s="349"/>
      <c r="H3" s="349"/>
      <c r="I3" s="349"/>
    </row>
    <row r="4" spans="1:35" ht="12.95" customHeight="1" x14ac:dyDescent="0.2">
      <c r="A4" s="214" t="s">
        <v>399</v>
      </c>
      <c r="D4" s="350" t="s">
        <v>98</v>
      </c>
      <c r="E4" s="350"/>
      <c r="F4" s="350"/>
      <c r="G4" s="350"/>
      <c r="H4" s="350"/>
      <c r="I4" s="350"/>
    </row>
    <row r="5" spans="1:35" ht="6" customHeight="1" x14ac:dyDescent="0.2"/>
    <row r="6" spans="1:35" ht="12.95" customHeight="1" x14ac:dyDescent="0.2">
      <c r="A6" s="221">
        <v>206</v>
      </c>
      <c r="B6" s="5" t="s">
        <v>43</v>
      </c>
      <c r="C6" s="5"/>
      <c r="D6" s="347" t="str">
        <f>IF(E1_Projektdaten!C8=0,"",E1_Projektdaten!C8)</f>
        <v>QMH Beispielprojekt 3</v>
      </c>
      <c r="E6" s="347"/>
      <c r="F6" s="347"/>
      <c r="G6" s="347"/>
      <c r="H6" s="347"/>
      <c r="I6" s="347"/>
      <c r="J6" s="242">
        <v>505</v>
      </c>
      <c r="K6" s="5" t="s">
        <v>852</v>
      </c>
      <c r="N6" s="64"/>
      <c r="V6" s="3"/>
      <c r="W6" s="5"/>
      <c r="AH6" s="3">
        <v>506</v>
      </c>
      <c r="AI6" s="5" t="s">
        <v>259</v>
      </c>
    </row>
    <row r="7" spans="1:35" ht="12.95" customHeight="1" x14ac:dyDescent="0.2">
      <c r="B7" s="5"/>
      <c r="C7" s="5"/>
      <c r="D7" s="347" t="str">
        <f>IF(E1_Projektdaten!C9=0,"",E1_Projektdaten!C9)</f>
        <v>Wärmeverbund Holz-WKK</v>
      </c>
      <c r="E7" s="347"/>
      <c r="F7" s="347"/>
      <c r="G7" s="347"/>
      <c r="H7" s="347"/>
      <c r="I7" s="347"/>
      <c r="J7" s="5"/>
    </row>
    <row r="8" spans="1:35" ht="12.95" customHeight="1" x14ac:dyDescent="0.2">
      <c r="B8" s="5"/>
      <c r="C8" s="5"/>
      <c r="D8" s="347" t="str">
        <f>IF(E1_Projektdaten!C10=0,"",E1_Projektdaten!C10)</f>
        <v/>
      </c>
      <c r="E8" s="347"/>
      <c r="F8" s="347"/>
      <c r="G8" s="347"/>
      <c r="H8" s="347"/>
      <c r="I8" s="347"/>
      <c r="J8" s="5"/>
    </row>
    <row r="9" spans="1:35" ht="12.95" customHeight="1" x14ac:dyDescent="0.2">
      <c r="B9" s="5"/>
      <c r="C9" s="5"/>
      <c r="E9" s="65"/>
      <c r="F9" s="65"/>
      <c r="G9" s="65"/>
      <c r="H9" s="65"/>
      <c r="I9" s="65"/>
      <c r="J9" s="65"/>
    </row>
    <row r="10" spans="1:35" ht="12.95" customHeight="1" x14ac:dyDescent="0.2">
      <c r="A10" s="221">
        <v>207</v>
      </c>
      <c r="B10" s="66" t="s">
        <v>44</v>
      </c>
      <c r="C10" s="5"/>
      <c r="D10" s="347" t="str">
        <f>IF(E1_Projektdaten!C12=0,"",E1_Projektdaten!C12)</f>
        <v>Datum, Erfasser:in</v>
      </c>
      <c r="E10" s="347"/>
      <c r="F10" s="347"/>
      <c r="G10" s="347"/>
      <c r="H10" s="347"/>
      <c r="I10" s="347"/>
      <c r="J10" s="5"/>
    </row>
    <row r="11" spans="1:35" ht="12.95" customHeight="1" x14ac:dyDescent="0.2"/>
    <row r="12" spans="1:35" ht="12.95" customHeight="1" x14ac:dyDescent="0.2">
      <c r="A12" s="214">
        <v>501</v>
      </c>
      <c r="B12" s="1" t="s">
        <v>6</v>
      </c>
      <c r="D12" s="351" t="str">
        <f>IF(E1_Projektdaten!C14&lt;&gt;"",E1_Projektdaten!Y15,"")</f>
        <v>Es existieren Warnungen im Register 'E1_Projektdaten'!</v>
      </c>
      <c r="E12" s="351"/>
      <c r="F12" s="351"/>
      <c r="G12" s="351"/>
      <c r="H12" s="351"/>
      <c r="I12" s="351"/>
      <c r="J12" s="64"/>
    </row>
    <row r="13" spans="1:35" ht="12.95" customHeight="1" x14ac:dyDescent="0.2">
      <c r="G13" s="245">
        <v>511</v>
      </c>
    </row>
    <row r="14" spans="1:35" ht="12.95" customHeight="1" x14ac:dyDescent="0.2">
      <c r="A14" s="221">
        <v>510</v>
      </c>
      <c r="B14" s="5" t="s">
        <v>89</v>
      </c>
      <c r="C14" s="5"/>
      <c r="E14" s="45" t="s">
        <v>174</v>
      </c>
      <c r="F14" s="45" t="s">
        <v>245</v>
      </c>
      <c r="G14" s="1" t="s">
        <v>84</v>
      </c>
      <c r="N14" s="5"/>
    </row>
    <row r="15" spans="1:35" ht="12.95" customHeight="1" x14ac:dyDescent="0.2">
      <c r="A15" s="221" t="s">
        <v>62</v>
      </c>
      <c r="B15" s="353" t="s">
        <v>175</v>
      </c>
      <c r="C15" s="353"/>
      <c r="D15" s="353"/>
      <c r="E15" s="353"/>
      <c r="F15" s="56">
        <f>SUM(F16:F26)</f>
        <v>2193192.8342966577</v>
      </c>
      <c r="G15" s="67" cm="1">
        <f t="array" ref="G15">IF(F15=0,0,SUMPRODUCT(F16:F26*G16:G26)/SUM(F16:F26))</f>
        <v>1.0000000000000002E-2</v>
      </c>
      <c r="I15" s="5"/>
      <c r="J15" s="49"/>
      <c r="K15" s="49"/>
      <c r="L15" s="49"/>
      <c r="M15" s="49"/>
      <c r="R15" s="6"/>
      <c r="S15" s="68"/>
      <c r="T15" s="49"/>
    </row>
    <row r="16" spans="1:35" ht="12.95" customHeight="1" x14ac:dyDescent="0.2">
      <c r="A16" s="221" t="s">
        <v>394</v>
      </c>
      <c r="C16" s="352" t="s">
        <v>22</v>
      </c>
      <c r="D16" s="352"/>
      <c r="E16" s="352"/>
      <c r="F16" s="6">
        <f>Energiekosten_Holzschnitzel</f>
        <v>473168.58979129518</v>
      </c>
      <c r="G16" s="183">
        <f t="shared" ref="G16:G26" si="0">Eing_allg_Teuerung/100</f>
        <v>0.01</v>
      </c>
      <c r="J16" s="49"/>
      <c r="K16" s="49"/>
      <c r="L16" s="49"/>
      <c r="M16" s="49"/>
    </row>
    <row r="17" spans="1:31" ht="12.95" customHeight="1" x14ac:dyDescent="0.2">
      <c r="A17" s="221" t="s">
        <v>395</v>
      </c>
      <c r="C17" s="352" t="s">
        <v>967</v>
      </c>
      <c r="D17" s="352"/>
      <c r="E17" s="352"/>
      <c r="F17" s="6">
        <f>Energiekosten_WKK</f>
        <v>591460.7372391189</v>
      </c>
      <c r="G17" s="183">
        <f t="shared" si="0"/>
        <v>0.01</v>
      </c>
      <c r="J17" s="49"/>
      <c r="K17" s="49"/>
      <c r="L17" s="49"/>
      <c r="M17" s="49"/>
    </row>
    <row r="18" spans="1:31" ht="12.95" customHeight="1" x14ac:dyDescent="0.2">
      <c r="A18" s="221" t="s">
        <v>396</v>
      </c>
      <c r="C18" s="352" t="s">
        <v>416</v>
      </c>
      <c r="D18" s="352"/>
      <c r="E18" s="352"/>
      <c r="F18" s="6">
        <f>Energiekosten_Zusatz</f>
        <v>0</v>
      </c>
      <c r="G18" s="183">
        <f t="shared" si="0"/>
        <v>0.01</v>
      </c>
      <c r="J18" s="49"/>
      <c r="K18" s="49"/>
      <c r="L18" s="49"/>
      <c r="M18" s="49"/>
    </row>
    <row r="19" spans="1:31" ht="12.95" customHeight="1" x14ac:dyDescent="0.2">
      <c r="A19" s="221" t="s">
        <v>397</v>
      </c>
      <c r="C19" s="352" t="s">
        <v>417</v>
      </c>
      <c r="D19" s="352"/>
      <c r="E19" s="352"/>
      <c r="F19" s="6">
        <f>Energiekosten_AWN</f>
        <v>0</v>
      </c>
      <c r="G19" s="183">
        <f t="shared" ref="G19" si="1">Eing_allg_Teuerung/100</f>
        <v>0.01</v>
      </c>
      <c r="J19" s="49"/>
      <c r="K19" s="49"/>
      <c r="L19" s="49"/>
      <c r="M19" s="49"/>
    </row>
    <row r="20" spans="1:31" ht="12.95" customHeight="1" x14ac:dyDescent="0.2">
      <c r="A20" s="221" t="s">
        <v>405</v>
      </c>
      <c r="C20" s="352" t="s">
        <v>24</v>
      </c>
      <c r="D20" s="352"/>
      <c r="E20" s="352"/>
      <c r="F20" s="6">
        <f>Energiekosten_fossil</f>
        <v>202425.06515135619</v>
      </c>
      <c r="G20" s="183">
        <f t="shared" si="0"/>
        <v>0.01</v>
      </c>
      <c r="J20" s="49"/>
      <c r="K20" s="49"/>
      <c r="L20" s="49"/>
      <c r="M20" s="49"/>
    </row>
    <row r="21" spans="1:31" ht="12.95" customHeight="1" x14ac:dyDescent="0.2">
      <c r="A21" s="221" t="s">
        <v>403</v>
      </c>
      <c r="C21" s="352" t="s">
        <v>418</v>
      </c>
      <c r="D21" s="352"/>
      <c r="E21" s="352"/>
      <c r="F21" s="6">
        <f>SUM(Stromkosten_Hilfsenergie,Stromkosten_WP)</f>
        <v>14338.442114887726</v>
      </c>
      <c r="G21" s="183">
        <f t="shared" si="0"/>
        <v>0.01</v>
      </c>
      <c r="J21" s="49"/>
      <c r="K21" s="49"/>
      <c r="L21" s="49"/>
      <c r="M21" s="49"/>
      <c r="R21" s="6"/>
      <c r="S21" s="6"/>
      <c r="T21" s="69"/>
      <c r="U21" s="49"/>
      <c r="V21" s="49"/>
      <c r="W21" s="49"/>
      <c r="X21" s="49"/>
      <c r="Y21" s="49"/>
      <c r="Z21" s="49"/>
      <c r="AA21" s="49"/>
      <c r="AE21" s="6"/>
    </row>
    <row r="22" spans="1:31" ht="12.95" customHeight="1" x14ac:dyDescent="0.2">
      <c r="A22" s="221" t="s">
        <v>404</v>
      </c>
      <c r="C22" s="352" t="s">
        <v>89</v>
      </c>
      <c r="D22" s="352"/>
      <c r="E22" s="352"/>
      <c r="F22" s="6">
        <f>Eing_Betriebskosten</f>
        <v>100000</v>
      </c>
      <c r="G22" s="183">
        <f t="shared" si="0"/>
        <v>0.01</v>
      </c>
      <c r="J22" s="49"/>
      <c r="K22" s="49"/>
      <c r="L22" s="49"/>
      <c r="M22" s="49"/>
      <c r="N22" s="5"/>
    </row>
    <row r="23" spans="1:31" ht="12.95" customHeight="1" x14ac:dyDescent="0.2">
      <c r="A23" s="221" t="s">
        <v>406</v>
      </c>
      <c r="C23" s="352" t="s">
        <v>939</v>
      </c>
      <c r="D23" s="352"/>
      <c r="E23" s="352"/>
      <c r="F23" s="6">
        <f>Eing_Administration</f>
        <v>138800</v>
      </c>
      <c r="G23" s="183">
        <f>Eing_allg_Teuerung/100</f>
        <v>0.01</v>
      </c>
      <c r="J23" s="49"/>
      <c r="K23" s="49"/>
      <c r="L23" s="49"/>
      <c r="M23" s="49"/>
      <c r="R23" s="70"/>
      <c r="S23" s="70"/>
      <c r="T23" s="71"/>
      <c r="U23" s="72"/>
      <c r="V23" s="72"/>
      <c r="W23" s="72"/>
      <c r="X23" s="72"/>
      <c r="Y23" s="72"/>
      <c r="Z23" s="72"/>
      <c r="AA23" s="72"/>
    </row>
    <row r="24" spans="1:31" ht="12.95" customHeight="1" x14ac:dyDescent="0.2">
      <c r="A24" s="221" t="s">
        <v>407</v>
      </c>
      <c r="C24" s="352" t="s">
        <v>88</v>
      </c>
      <c r="D24" s="352"/>
      <c r="E24" s="352"/>
      <c r="F24" s="6">
        <f>Eing_Unterhaltskosten</f>
        <v>443000</v>
      </c>
      <c r="G24" s="183">
        <f t="shared" si="0"/>
        <v>0.01</v>
      </c>
      <c r="J24" s="49"/>
      <c r="K24" s="49"/>
      <c r="L24" s="49"/>
      <c r="M24" s="49"/>
      <c r="R24" s="70"/>
      <c r="S24" s="70"/>
      <c r="U24" s="72"/>
      <c r="V24" s="72"/>
      <c r="W24" s="72"/>
      <c r="X24" s="72"/>
      <c r="Y24" s="72"/>
      <c r="Z24" s="72"/>
      <c r="AA24" s="72"/>
    </row>
    <row r="25" spans="1:31" ht="12.95" customHeight="1" x14ac:dyDescent="0.2">
      <c r="A25" s="221" t="s">
        <v>408</v>
      </c>
      <c r="C25" s="352" t="s">
        <v>28</v>
      </c>
      <c r="D25" s="352"/>
      <c r="E25" s="352"/>
      <c r="F25" s="6">
        <f>Eing_Kosten_Grundstück</f>
        <v>30000</v>
      </c>
      <c r="G25" s="183">
        <f t="shared" si="0"/>
        <v>0.01</v>
      </c>
      <c r="J25" s="49"/>
      <c r="K25" s="49"/>
      <c r="L25" s="49"/>
      <c r="M25" s="49"/>
      <c r="R25" s="70"/>
      <c r="S25" s="70"/>
      <c r="T25" s="71"/>
      <c r="U25" s="72"/>
      <c r="V25" s="72"/>
      <c r="W25" s="72"/>
      <c r="X25" s="72"/>
      <c r="Y25" s="72"/>
      <c r="Z25" s="72"/>
      <c r="AA25" s="72"/>
      <c r="AB25" s="6"/>
      <c r="AC25" s="6"/>
      <c r="AD25" s="6"/>
    </row>
    <row r="26" spans="1:31" ht="12.95" customHeight="1" x14ac:dyDescent="0.2">
      <c r="A26" s="221" t="s">
        <v>409</v>
      </c>
      <c r="C26" s="352" t="s">
        <v>29</v>
      </c>
      <c r="D26" s="352"/>
      <c r="E26" s="352"/>
      <c r="F26" s="6">
        <f>Eing_Sonstige_Kosten</f>
        <v>200000</v>
      </c>
      <c r="G26" s="183">
        <f t="shared" si="0"/>
        <v>0.01</v>
      </c>
      <c r="J26" s="49"/>
      <c r="K26" s="49"/>
      <c r="L26" s="49"/>
      <c r="M26" s="49"/>
      <c r="R26" s="70"/>
      <c r="S26" s="70"/>
      <c r="T26" s="72"/>
      <c r="U26" s="72"/>
      <c r="V26" s="72"/>
      <c r="W26" s="72"/>
      <c r="X26" s="72"/>
      <c r="Y26" s="72"/>
      <c r="Z26" s="72"/>
      <c r="AA26" s="72"/>
    </row>
    <row r="27" spans="1:31" ht="12.95" customHeight="1" x14ac:dyDescent="0.2">
      <c r="A27" s="211"/>
      <c r="C27" s="45"/>
      <c r="D27" s="45"/>
      <c r="E27" s="45"/>
      <c r="F27" s="6"/>
      <c r="J27" s="49"/>
      <c r="K27" s="49"/>
      <c r="L27" s="49"/>
      <c r="M27" s="49"/>
      <c r="R27" s="70"/>
      <c r="S27" s="70"/>
      <c r="T27" s="72"/>
      <c r="U27" s="72"/>
      <c r="V27" s="72"/>
      <c r="W27" s="72"/>
      <c r="X27" s="72"/>
      <c r="Y27" s="72"/>
      <c r="Z27" s="72"/>
      <c r="AA27" s="72"/>
    </row>
    <row r="28" spans="1:31" ht="12.95" customHeight="1" x14ac:dyDescent="0.2">
      <c r="A28" s="221" t="s">
        <v>419</v>
      </c>
      <c r="C28" s="45"/>
      <c r="D28" s="45"/>
      <c r="E28" s="45" t="s">
        <v>356</v>
      </c>
      <c r="F28" s="6">
        <f>-Ertrag_Stromeinspeisung</f>
        <v>-510376.84707942873</v>
      </c>
      <c r="G28" s="183">
        <f>Eing_allg_Teuerung/100</f>
        <v>0.01</v>
      </c>
      <c r="J28" s="49"/>
      <c r="K28" s="49"/>
      <c r="L28" s="49"/>
      <c r="M28" s="49"/>
    </row>
    <row r="29" spans="1:31" ht="12.95" customHeight="1" x14ac:dyDescent="0.2">
      <c r="A29" s="221" t="s">
        <v>420</v>
      </c>
      <c r="C29" s="45"/>
      <c r="D29" s="45"/>
      <c r="E29" s="45" t="s">
        <v>357</v>
      </c>
      <c r="F29" s="6">
        <f>-Ertrag_Pflanzenkohle</f>
        <v>-480000</v>
      </c>
      <c r="G29" s="183">
        <f t="shared" ref="G29" si="2">Eing_allg_Teuerung/100</f>
        <v>0.01</v>
      </c>
      <c r="J29" s="49"/>
      <c r="K29" s="49"/>
      <c r="L29" s="49"/>
      <c r="M29" s="49"/>
    </row>
    <row r="30" spans="1:31" ht="12.95" customHeight="1" x14ac:dyDescent="0.2">
      <c r="A30" s="221" t="s">
        <v>421</v>
      </c>
      <c r="B30" s="5" t="s">
        <v>85</v>
      </c>
      <c r="F30" s="6"/>
      <c r="G30" s="183">
        <f>G15</f>
        <v>1.0000000000000002E-2</v>
      </c>
      <c r="I30" s="73"/>
      <c r="J30" s="49"/>
      <c r="K30" s="49"/>
      <c r="L30" s="49"/>
      <c r="M30" s="49"/>
    </row>
    <row r="31" spans="1:31" ht="12.95" customHeight="1" x14ac:dyDescent="0.2">
      <c r="A31" s="63"/>
      <c r="B31" s="5"/>
      <c r="F31" s="6"/>
      <c r="G31" s="68"/>
      <c r="J31" s="49"/>
      <c r="K31" s="49"/>
      <c r="L31" s="49"/>
      <c r="M31" s="49"/>
    </row>
    <row r="32" spans="1:31" ht="12.95" customHeight="1" x14ac:dyDescent="0.2">
      <c r="A32" s="211"/>
      <c r="B32" s="5" t="s">
        <v>168</v>
      </c>
      <c r="E32" s="45"/>
      <c r="F32" s="63" t="s">
        <v>39</v>
      </c>
      <c r="I32" s="71"/>
      <c r="T32" s="71"/>
    </row>
    <row r="33" spans="1:56" ht="12.95" customHeight="1" x14ac:dyDescent="0.2">
      <c r="A33" s="221">
        <v>145</v>
      </c>
      <c r="C33" s="353" t="s">
        <v>176</v>
      </c>
      <c r="D33" s="353"/>
      <c r="E33" s="353"/>
      <c r="F33" s="56">
        <f>Gesamtinvestition</f>
        <v>38650000</v>
      </c>
      <c r="I33" s="71"/>
      <c r="T33" s="71"/>
    </row>
    <row r="34" spans="1:56" ht="12.95" customHeight="1" x14ac:dyDescent="0.2">
      <c r="A34" s="221">
        <v>165</v>
      </c>
      <c r="C34" s="352" t="s">
        <v>169</v>
      </c>
      <c r="D34" s="352"/>
      <c r="E34" s="352"/>
      <c r="F34" s="6">
        <f>Gesamtsumme_Förderung</f>
        <v>3000000</v>
      </c>
      <c r="H34" s="45"/>
      <c r="I34" s="74"/>
    </row>
    <row r="35" spans="1:56" ht="12.95" customHeight="1" x14ac:dyDescent="0.2">
      <c r="A35" s="221">
        <v>543</v>
      </c>
      <c r="C35" s="45"/>
      <c r="D35" s="45"/>
      <c r="E35" s="45" t="s">
        <v>422</v>
      </c>
      <c r="F35" s="6">
        <f>SUM(G44:G68)</f>
        <v>-8296200</v>
      </c>
      <c r="H35" s="45"/>
      <c r="I35" s="74"/>
    </row>
    <row r="36" spans="1:56" ht="12.95" customHeight="1" x14ac:dyDescent="0.2">
      <c r="A36" s="221">
        <v>155</v>
      </c>
      <c r="C36" s="45"/>
      <c r="D36" s="45"/>
      <c r="E36" s="45" t="s">
        <v>333</v>
      </c>
      <c r="F36" s="6">
        <f>Eing_Eigenkapital</f>
        <v>5000000</v>
      </c>
      <c r="H36" s="45"/>
      <c r="I36" s="74"/>
    </row>
    <row r="37" spans="1:56" ht="12.95" customHeight="1" x14ac:dyDescent="0.2">
      <c r="A37" s="221">
        <v>160</v>
      </c>
      <c r="C37" s="45"/>
      <c r="D37" s="45"/>
      <c r="E37" s="45" t="s">
        <v>423</v>
      </c>
      <c r="F37" s="6">
        <f>SUM(Eing_Kredit_1,Eing_Kredit_2)</f>
        <v>28000000</v>
      </c>
      <c r="H37" s="45"/>
      <c r="I37" s="74"/>
    </row>
    <row r="38" spans="1:56" ht="12.95" customHeight="1" x14ac:dyDescent="0.2">
      <c r="A38" s="58"/>
      <c r="C38" s="45"/>
      <c r="D38" s="45"/>
      <c r="E38" s="45"/>
      <c r="F38" s="6"/>
      <c r="G38" s="45"/>
      <c r="H38" s="45"/>
      <c r="I38" s="76"/>
      <c r="J38" s="76"/>
      <c r="K38" s="77"/>
      <c r="L38" s="77"/>
      <c r="M38" s="77"/>
    </row>
    <row r="39" spans="1:56" ht="12.95" customHeight="1" x14ac:dyDescent="0.2">
      <c r="A39" s="221">
        <v>530</v>
      </c>
      <c r="E39" s="78" t="s">
        <v>368</v>
      </c>
      <c r="I39" s="78" t="s">
        <v>365</v>
      </c>
      <c r="J39" s="5"/>
      <c r="N39" s="78" t="s">
        <v>100</v>
      </c>
      <c r="U39" s="78" t="s">
        <v>99</v>
      </c>
      <c r="V39" s="1" t="s">
        <v>126</v>
      </c>
      <c r="AB39" s="1" t="s">
        <v>431</v>
      </c>
      <c r="AI39" s="78" t="s">
        <v>248</v>
      </c>
      <c r="AJ39" s="5"/>
      <c r="AK39" s="5"/>
      <c r="AM39" s="78" t="s">
        <v>246</v>
      </c>
      <c r="AN39" s="5"/>
      <c r="AO39" s="5"/>
      <c r="AP39" s="5"/>
      <c r="AQ39" s="78" t="s">
        <v>371</v>
      </c>
      <c r="AR39" s="5"/>
      <c r="AS39" s="5"/>
      <c r="AT39" s="5" t="s">
        <v>844</v>
      </c>
      <c r="AU39" s="5"/>
      <c r="AV39" s="5"/>
      <c r="AW39" s="5"/>
      <c r="AX39" s="5"/>
      <c r="AY39" s="5"/>
      <c r="AZ39" s="5"/>
      <c r="BA39" s="5"/>
      <c r="BB39" s="5"/>
    </row>
    <row r="40" spans="1:56" ht="6.75" customHeight="1" x14ac:dyDescent="0.2">
      <c r="E40" s="79"/>
      <c r="I40" s="248"/>
      <c r="J40" s="249"/>
      <c r="N40" s="80"/>
      <c r="U40" s="79"/>
      <c r="V40" s="5"/>
      <c r="Z40" s="5"/>
      <c r="AA40" s="5"/>
      <c r="AB40" s="5"/>
      <c r="AC40" s="5"/>
      <c r="AD40" s="5"/>
      <c r="AE40" s="5"/>
      <c r="AF40" s="5"/>
      <c r="AG40" s="5"/>
      <c r="AI40" s="80"/>
      <c r="AJ40" s="196"/>
      <c r="AK40" s="196"/>
      <c r="AM40" s="80"/>
      <c r="AP40" s="196"/>
      <c r="AQ40" s="80"/>
      <c r="AR40" s="196"/>
      <c r="AS40" s="196"/>
    </row>
    <row r="41" spans="1:56" ht="70.5" customHeight="1" x14ac:dyDescent="0.2">
      <c r="A41" s="58"/>
      <c r="B41" s="81" t="s">
        <v>11</v>
      </c>
      <c r="C41" s="82" t="s">
        <v>931</v>
      </c>
      <c r="D41" s="83" t="s">
        <v>31</v>
      </c>
      <c r="E41" s="85" t="s">
        <v>829</v>
      </c>
      <c r="F41" s="85" t="s">
        <v>366</v>
      </c>
      <c r="G41" s="194" t="s">
        <v>446</v>
      </c>
      <c r="H41" s="195" t="s">
        <v>797</v>
      </c>
      <c r="I41" s="252" t="s">
        <v>832</v>
      </c>
      <c r="J41" s="195" t="s">
        <v>846</v>
      </c>
      <c r="K41" s="195" t="s">
        <v>847</v>
      </c>
      <c r="L41" s="195" t="s">
        <v>871</v>
      </c>
      <c r="M41" s="83" t="s">
        <v>251</v>
      </c>
      <c r="N41" s="84" t="s">
        <v>834</v>
      </c>
      <c r="O41" s="195" t="s">
        <v>362</v>
      </c>
      <c r="P41" s="195" t="s">
        <v>363</v>
      </c>
      <c r="Q41" s="195" t="s">
        <v>367</v>
      </c>
      <c r="R41" s="181" t="s">
        <v>104</v>
      </c>
      <c r="S41" s="87" t="s">
        <v>105</v>
      </c>
      <c r="T41" s="86" t="s">
        <v>210</v>
      </c>
      <c r="U41" s="84" t="s">
        <v>428</v>
      </c>
      <c r="V41" s="195" t="s">
        <v>430</v>
      </c>
      <c r="W41" s="195" t="s">
        <v>429</v>
      </c>
      <c r="X41" s="195" t="s">
        <v>358</v>
      </c>
      <c r="Y41" s="85" t="s">
        <v>24</v>
      </c>
      <c r="Z41" s="195" t="s">
        <v>359</v>
      </c>
      <c r="AA41" s="85" t="s">
        <v>361</v>
      </c>
      <c r="AB41" s="85" t="s">
        <v>170</v>
      </c>
      <c r="AC41" s="85" t="s">
        <v>102</v>
      </c>
      <c r="AD41" s="85" t="s">
        <v>36</v>
      </c>
      <c r="AE41" s="181" t="s">
        <v>103</v>
      </c>
      <c r="AF41" s="85" t="s">
        <v>76</v>
      </c>
      <c r="AG41" s="82" t="s">
        <v>369</v>
      </c>
      <c r="AH41" s="86" t="s">
        <v>810</v>
      </c>
      <c r="AI41" s="84" t="s">
        <v>870</v>
      </c>
      <c r="AJ41" s="85" t="s">
        <v>865</v>
      </c>
      <c r="AK41" s="85" t="s">
        <v>248</v>
      </c>
      <c r="AL41" s="83" t="s">
        <v>250</v>
      </c>
      <c r="AM41" s="85" t="s">
        <v>249</v>
      </c>
      <c r="AN41" s="85" t="s">
        <v>848</v>
      </c>
      <c r="AO41" s="87" t="s">
        <v>370</v>
      </c>
      <c r="AP41" s="83" t="s">
        <v>247</v>
      </c>
      <c r="AQ41" s="84" t="s">
        <v>173</v>
      </c>
      <c r="AR41" s="85" t="s">
        <v>172</v>
      </c>
      <c r="AS41" s="83" t="s">
        <v>171</v>
      </c>
      <c r="AT41" s="250" t="s">
        <v>831</v>
      </c>
      <c r="AU41" s="250" t="s">
        <v>838</v>
      </c>
      <c r="AV41" s="250" t="s">
        <v>839</v>
      </c>
      <c r="AW41" s="250" t="s">
        <v>866</v>
      </c>
      <c r="AX41" s="250" t="s">
        <v>840</v>
      </c>
      <c r="AY41" s="250" t="s">
        <v>843</v>
      </c>
      <c r="AZ41" s="250" t="s">
        <v>842</v>
      </c>
      <c r="BA41" s="250" t="s">
        <v>867</v>
      </c>
      <c r="BB41" s="250" t="s">
        <v>841</v>
      </c>
      <c r="BC41" s="255" t="s">
        <v>837</v>
      </c>
      <c r="BD41" s="255" t="s">
        <v>836</v>
      </c>
    </row>
    <row r="42" spans="1:56" s="88" customFormat="1" ht="12.95" customHeight="1" x14ac:dyDescent="0.2">
      <c r="A42" s="218"/>
      <c r="B42" s="223">
        <v>531</v>
      </c>
      <c r="C42" s="224">
        <v>532</v>
      </c>
      <c r="D42" s="225">
        <v>533</v>
      </c>
      <c r="E42" s="226">
        <v>541</v>
      </c>
      <c r="F42" s="227">
        <v>542</v>
      </c>
      <c r="G42" s="228">
        <v>543</v>
      </c>
      <c r="H42" s="229">
        <v>544</v>
      </c>
      <c r="I42" s="229">
        <v>551</v>
      </c>
      <c r="J42" s="230">
        <v>552</v>
      </c>
      <c r="K42" s="231">
        <v>555</v>
      </c>
      <c r="L42" s="232">
        <v>582</v>
      </c>
      <c r="M42" s="271">
        <v>559</v>
      </c>
      <c r="N42" s="223">
        <v>561</v>
      </c>
      <c r="O42" s="229">
        <v>562</v>
      </c>
      <c r="P42" s="229">
        <v>563</v>
      </c>
      <c r="Q42" s="227">
        <v>564</v>
      </c>
      <c r="R42" s="228">
        <v>566</v>
      </c>
      <c r="S42" s="233">
        <v>567</v>
      </c>
      <c r="T42" s="234">
        <v>569</v>
      </c>
      <c r="U42" s="235" t="s">
        <v>424</v>
      </c>
      <c r="V42" s="229" t="s">
        <v>425</v>
      </c>
      <c r="W42" s="229" t="s">
        <v>426</v>
      </c>
      <c r="X42" s="229" t="s">
        <v>427</v>
      </c>
      <c r="Y42" s="228" t="s">
        <v>432</v>
      </c>
      <c r="Z42" s="229" t="s">
        <v>433</v>
      </c>
      <c r="AA42" s="226" t="s">
        <v>434</v>
      </c>
      <c r="AB42" s="228" t="s">
        <v>435</v>
      </c>
      <c r="AC42" s="228" t="s">
        <v>436</v>
      </c>
      <c r="AD42" s="226">
        <v>575</v>
      </c>
      <c r="AE42" s="226">
        <v>576</v>
      </c>
      <c r="AF42" s="226">
        <v>577</v>
      </c>
      <c r="AG42" s="227">
        <v>578</v>
      </c>
      <c r="AH42" s="234">
        <v>579</v>
      </c>
      <c r="AI42" s="236">
        <v>580</v>
      </c>
      <c r="AJ42" s="265"/>
      <c r="AK42" s="227">
        <v>581</v>
      </c>
      <c r="AL42" s="237">
        <v>582</v>
      </c>
      <c r="AM42" s="238">
        <v>585</v>
      </c>
      <c r="AN42" s="265"/>
      <c r="AO42" s="268">
        <v>588</v>
      </c>
      <c r="AP42" s="268">
        <v>589</v>
      </c>
      <c r="AQ42" s="239">
        <v>591</v>
      </c>
      <c r="AR42" s="240">
        <v>592</v>
      </c>
      <c r="AS42" s="247">
        <v>599</v>
      </c>
      <c r="AT42" s="251"/>
      <c r="AU42" s="251"/>
      <c r="AV42" s="251"/>
      <c r="AW42" s="251"/>
      <c r="AX42" s="251"/>
      <c r="AY42" s="251"/>
      <c r="AZ42" s="251"/>
      <c r="BA42" s="251"/>
      <c r="BB42" s="251"/>
    </row>
    <row r="43" spans="1:56" ht="12.95" customHeight="1" x14ac:dyDescent="0.2">
      <c r="B43" s="89" t="s">
        <v>30</v>
      </c>
      <c r="C43" s="90" t="s">
        <v>23</v>
      </c>
      <c r="D43" s="91" t="s">
        <v>12</v>
      </c>
      <c r="E43" s="92" t="s">
        <v>39</v>
      </c>
      <c r="F43" s="92" t="s">
        <v>39</v>
      </c>
      <c r="G43" s="92" t="s">
        <v>39</v>
      </c>
      <c r="H43" s="92" t="s">
        <v>39</v>
      </c>
      <c r="I43" s="92" t="s">
        <v>39</v>
      </c>
      <c r="J43" s="90" t="s">
        <v>39</v>
      </c>
      <c r="K43" s="92" t="s">
        <v>39</v>
      </c>
      <c r="L43" s="93" t="s">
        <v>39</v>
      </c>
      <c r="M43" s="91" t="s">
        <v>12</v>
      </c>
      <c r="N43" s="89" t="s">
        <v>39</v>
      </c>
      <c r="O43" s="92" t="s">
        <v>39</v>
      </c>
      <c r="P43" s="92" t="s">
        <v>39</v>
      </c>
      <c r="Q43" s="92" t="s">
        <v>39</v>
      </c>
      <c r="R43" s="92" t="s">
        <v>39</v>
      </c>
      <c r="S43" s="92" t="s">
        <v>39</v>
      </c>
      <c r="T43" s="91" t="s">
        <v>39</v>
      </c>
      <c r="U43" s="89" t="s">
        <v>39</v>
      </c>
      <c r="V43" s="219" t="s">
        <v>39</v>
      </c>
      <c r="W43" s="92" t="s">
        <v>39</v>
      </c>
      <c r="X43" s="92" t="s">
        <v>39</v>
      </c>
      <c r="Y43" s="92" t="s">
        <v>39</v>
      </c>
      <c r="Z43" s="92" t="s">
        <v>39</v>
      </c>
      <c r="AA43" s="92" t="s">
        <v>39</v>
      </c>
      <c r="AB43" s="92" t="s">
        <v>39</v>
      </c>
      <c r="AC43" s="92" t="s">
        <v>39</v>
      </c>
      <c r="AD43" s="92" t="s">
        <v>39</v>
      </c>
      <c r="AE43" s="92" t="s">
        <v>39</v>
      </c>
      <c r="AF43" s="92" t="s">
        <v>39</v>
      </c>
      <c r="AG43" s="92" t="s">
        <v>39</v>
      </c>
      <c r="AH43" s="91" t="s">
        <v>39</v>
      </c>
      <c r="AI43" s="89" t="s">
        <v>39</v>
      </c>
      <c r="AJ43" s="219" t="s">
        <v>39</v>
      </c>
      <c r="AK43" s="92" t="s">
        <v>39</v>
      </c>
      <c r="AL43" s="91" t="s">
        <v>39</v>
      </c>
      <c r="AM43" s="89" t="s">
        <v>39</v>
      </c>
      <c r="AN43" s="219" t="s">
        <v>39</v>
      </c>
      <c r="AO43" s="92" t="s">
        <v>39</v>
      </c>
      <c r="AP43" s="91" t="s">
        <v>39</v>
      </c>
      <c r="AQ43" s="89" t="s">
        <v>39</v>
      </c>
      <c r="AR43" s="92" t="s">
        <v>39</v>
      </c>
      <c r="AS43" s="197"/>
      <c r="AT43" s="92" t="s">
        <v>39</v>
      </c>
      <c r="AU43" s="92" t="s">
        <v>39</v>
      </c>
      <c r="AV43" s="92" t="s">
        <v>39</v>
      </c>
      <c r="AW43" s="92" t="s">
        <v>39</v>
      </c>
      <c r="AX43" s="92" t="s">
        <v>39</v>
      </c>
      <c r="AY43" s="92" t="s">
        <v>39</v>
      </c>
      <c r="AZ43" s="92" t="s">
        <v>39</v>
      </c>
      <c r="BA43" s="92" t="s">
        <v>39</v>
      </c>
      <c r="BB43" s="92" t="s">
        <v>39</v>
      </c>
    </row>
    <row r="44" spans="1:56" ht="12.95" customHeight="1" x14ac:dyDescent="0.2">
      <c r="B44" s="94">
        <f>Eing_Beginnjahr</f>
        <v>2024</v>
      </c>
      <c r="C44" s="95" cm="1">
        <f t="array" ref="C44">(SUMPRODUCT((E3_Verbraucher!$D$21:$XFD$21&lt;B1_Berechnungen!B44)*E3_Verbraucher!$D$18:$XFD$18)+SUMPRODUCT((E3_Verbraucher!$D$21:$XFD$21=B1_Berechnungen!B44)*E3_Verbraucher!$D$18:$XFD$18*E3_Verbraucher!$D$20:$XFD$20))/(100-Eing_Netzverluste)*100*(1-Eing_AbnW/100)^(B1_Berechnungen!B44-Eing_Beginnjahr)</f>
        <v>0</v>
      </c>
      <c r="D44" s="96">
        <f>IF(mittl_Erzeugte_Wärmemenge=0,0,C44/mittl_Erzeugte_Wärmemenge*100)</f>
        <v>0</v>
      </c>
      <c r="E44" s="98"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+Gesamtinvestition*SUMPRODUCT((E1_Projektdaten!$D$83:$D$87=B44)*E1_Projektdaten!$F$83:$F$87)/100</f>
        <v>7730000</v>
      </c>
      <c r="F44" s="182">
        <f t="shared" ref="F44:F68" si="3">-SUM(Einmaliger_Förderbeitrag_1*(B44=Förderungsauszahlung_1),Einmaliger_Förderbeitrag_2*(B44=Förderungsauszahlung_2),Einmaliger_Förderbeitrag_3*(B44=Förderungsauszahlung_3))</f>
        <v>0</v>
      </c>
      <c r="G44" s="182" cm="1">
        <f t="array" ref="G44">-SUMPRODUCT((E3_Verbraucher!$D$21:$XFD$21=B1_Berechnungen!B44)*E3_Verbraucher!$D$23:$XFD$23)</f>
        <v>0</v>
      </c>
      <c r="H44" s="98">
        <f>SUM(E44:G44)</f>
        <v>7730000</v>
      </c>
      <c r="I44" s="182">
        <f>IF(H44&lt;=0,0,MIN(Eing_Eigenkapital,H44))</f>
        <v>5000000</v>
      </c>
      <c r="J44" s="103">
        <f>AV44+AZ44</f>
        <v>2730000</v>
      </c>
      <c r="K44" s="103">
        <f>-H44+SUM(I44:J44)</f>
        <v>0</v>
      </c>
      <c r="L44" s="98">
        <f>AL44</f>
        <v>-311900</v>
      </c>
      <c r="M44" s="269" t="str">
        <f>IF(ISNUMBER(IRR(BC44)),IRR(BC44),"-")</f>
        <v>-</v>
      </c>
      <c r="N44" s="97" cm="1">
        <f t="array" ref="N44">SUM((SUMPRODUCT((E3_Verbraucher!$D$21:$XFD$21&lt;B1_Berechnungen!B44)*E3_Verbraucher!$D$26:$XFD$26)+SUMPRODUCT((E3_Verbraucher!$D$21:$XFD$21=B1_Berechnungen!B44)*E3_Verbraucher!$D$26:$XFD$26*E3_Verbraucher!$D$20:$XFD$20))*(1+$G$30)^(B44-B$44),(SUMPRODUCT((E3_Verbraucher!$D$21:$XFD$21&lt;B1_Berechnungen!B44)*E3_Verbraucher!$D$27:$XFD$27)+SUMPRODUCT((E3_Verbraucher!$D$21:$XFD$21=B1_Berechnungen!B44)*E3_Verbraucher!$D$27:$XFD$27*E3_Verbraucher!$D$20:$XFD$20))*((1+$G$30)*(1-E1_Projektdaten!$D$20/100))^(B44-B$44))</f>
        <v>0</v>
      </c>
      <c r="O44" s="103">
        <f t="shared" ref="O44:O68" si="4">-$F$28*D44/100*((1+$G$28)^(B44-$B$44))</f>
        <v>0</v>
      </c>
      <c r="P44" s="103">
        <f t="shared" ref="P44:P68" si="5">-$F$29*D44/100*((1+$G$29)^(B44-$B$44))</f>
        <v>0</v>
      </c>
      <c r="Q44" s="182">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99"/>
      <c r="S44" s="102"/>
      <c r="T44" s="101">
        <f t="shared" ref="T44:T68" si="7">IF(S44,S44,SUM(N44:R44))</f>
        <v>0</v>
      </c>
      <c r="U44" s="97">
        <f>Energiekosten_Holzschnitzel*D44/100*((1+$G$16)^(B44-$B$44))</f>
        <v>0</v>
      </c>
      <c r="V44" s="103">
        <f>Energiekosten_WKK*D44/100*((1+$G$17)^(B44-$B$44))</f>
        <v>0</v>
      </c>
      <c r="W44" s="103">
        <f t="shared" ref="W44:W68" si="8">Energiekosten_Zusatz*D44/100*((1+$G$18)^(B44-$B$44))</f>
        <v>0</v>
      </c>
      <c r="X44" s="103">
        <f t="shared" ref="X44:X68" si="9">Energiekosten_AWN*D44/100*((1+$G$19)^(B44-$B$44))</f>
        <v>0</v>
      </c>
      <c r="Y44" s="98">
        <f t="shared" ref="Y44:Y68" si="10">Energiekosten_fossil*D44/100*(1+$G$20)^(B44-$B$44)</f>
        <v>0</v>
      </c>
      <c r="Z44" s="103">
        <f t="shared" ref="Z44:Z68" si="11">Stromkosten_WP*D44/100*((1+$G$21)^(B44-$B$44))</f>
        <v>0</v>
      </c>
      <c r="AA44" s="98">
        <f t="shared" ref="AA44:AA68" si="12">Stromkosten_Hilfsenergie*D44/100*((1+$G$21)^(B44-$B$44))</f>
        <v>0</v>
      </c>
      <c r="AB44" s="98">
        <f>($F$22*(1+$G$22)^(B44-B$44)+$F$23*(1+$G$23)^(B44-B$44))*(B44&gt;=Eing_JahrBegWLief)*VLOOKUP(B44,E1_Projektdaten!$D$83:$I$87,6)/100</f>
        <v>0</v>
      </c>
      <c r="AC44" s="98">
        <f>$F$24*(1+$G$24)^(B44-B$44)*(B44&gt;=Eing_JahrBegWLief)*VLOOKUP(B44,E1_Projektdaten!$D$83:$I$87,6)/100</f>
        <v>0</v>
      </c>
      <c r="AD44" s="98">
        <f t="shared" ref="AD44:AD68" si="13">Eing_Kosten_Grundstück*(1+$G$25)^(B44-B$44)+Eing_Sonstige_Kosten*(1+$G$26)^(B44-B$44)</f>
        <v>230000</v>
      </c>
      <c r="AE44" s="99"/>
      <c r="AF44" s="100"/>
      <c r="AG44" s="95">
        <f t="shared" ref="AG44:AG68" si="14">SUM(AX44*Eing_Kreditzinssatz_1/100,BB44*Eing_Kreditzinssatz_2/100)</f>
        <v>81900</v>
      </c>
      <c r="AH44" s="101">
        <f>IF(AF44,SUM(AF44:AG44),SUM(U44:AG44))</f>
        <v>311900</v>
      </c>
      <c r="AI44" s="97">
        <f>SUM(AW44,BA44)</f>
        <v>0</v>
      </c>
      <c r="AJ44" s="103">
        <f>SUM(AH44,AI44)</f>
        <v>311900</v>
      </c>
      <c r="AK44" s="98">
        <f>SUM(-AJ44,T44)</f>
        <v>-311900</v>
      </c>
      <c r="AL44" s="104">
        <f>AK44</f>
        <v>-311900</v>
      </c>
      <c r="AM44" s="98">
        <f>(E1_Projektdaten!$D$68*(1+Eing_allg_Teuerung/100)^(E1_Projektdaten!$I$68*ROUNDDOWN((AS44-1)/E1_Projektdaten!$I$68,0))/E1_Projektdaten!$I$68
+E1_Projektdaten!$D$69*(1+Eing_allg_Teuerung/100)^(E1_Projektdaten!$I$69*ROUNDDOWN((AS44-1)/E1_Projektdaten!$I$69,0))/E1_Projektdaten!$I$69
+E1_Projektdaten!$D$70*(1+Eing_allg_Teuerung/100)^(E1_Projektdaten!$I$70*ROUNDDOWN((AS44-1)/E1_Projektdaten!$I$69,0))/E1_Projektdaten!$I$70
+E1_Projektdaten!$D$71*(1+Eing_allg_Teuerung/100)^(E1_Projektdaten!$I$71*ROUNDDOWN((AS44-1)/E1_Projektdaten!$I$69,0))/E1_Projektdaten!$I$71
+E1_Projektdaten!$D$72*(1+Eing_allg_Teuerung/100)^(E1_Projektdaten!$I$72*ROUNDDOWN((AS44-1)/E1_Projektdaten!$I$69,0))/E1_Projektdaten!$I$72
+E1_Projektdaten!$D$74*(1+Eing_allg_Teuerung/100)^(E1_Projektdaten!$I$74*ROUNDDOWN((AS44-1)/E1_Projektdaten!$I$69,0))/E1_Projektdaten!$I$74
+E1_Projektdaten!$D$75*(1+Eing_allg_Teuerung/100)^(E1_Projektdaten!$I$75*ROUNDDOWN((AS44-1)/E1_Projektdaten!$I$75,0))/E1_Projektdaten!$I$75
+E1_Projektdaten!$D$76*(1+Eing_allg_Teuerung/100)^(E1_Projektdaten!$I$76*ROUNDDOWN((AS44-1)/E1_Projektdaten!$I$76,0))/E1_Projektdaten!$I$76
+E1_Projektdaten!$D$77*(1+Eing_allg_Teuerung/100)^(E1_Projektdaten!$I$77*ROUNDDOWN((AS44-1)/E1_Projektdaten!$I$77,0))/E1_Projektdaten!$I$77
+E1_Projektdaten!$D$78*(1+Eing_allg_Teuerung/100)^(E1_Projektdaten!$I$78*ROUNDDOWN((AS44-1)/E1_Projektdaten!$I$78,0))/E1_Projektdaten!$I$78
+E1_Projektdaten!$D$80*(1+Eing_allg_Teuerung/100)^(E1_Projektdaten!$I$80*ROUNDDOWN((AS44-1)/E1_Projektdaten!$I$69,0))/E1_Projektdaten!$I$80
)*((AS44)&gt;0)*VLOOKUP(B44,E1_Projektdaten!$D$83:$I$87,6
)/100</f>
        <v>0</v>
      </c>
      <c r="AN44" s="266">
        <f>SUM(AH44,AM44)</f>
        <v>311900</v>
      </c>
      <c r="AO44" s="266">
        <f>SUM(T44,-AN44)</f>
        <v>-311900</v>
      </c>
      <c r="AP44" s="269">
        <f>AO44</f>
        <v>-311900</v>
      </c>
      <c r="AQ44" s="198"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+(Gesamtinvestition-SUM(E1_Projektdaten!$D$79:$D$80))*SUMPRODUCT((E1_Projektdaten!$D$83:$D$87=B44)*E1_Projektdaten!$F$83:$F$87)/100-AM44</f>
        <v>6130000</v>
      </c>
      <c r="AR44" s="105">
        <f>-SUM(AX44,BB44)</f>
        <v>-2730000</v>
      </c>
      <c r="AS44" s="199">
        <f>MAX(B1_Berechnungen!B44-E1_Projektdaten!$D$23,0)</f>
        <v>0</v>
      </c>
      <c r="AT44" s="49">
        <f>Eing_Eigenkapital-B1_Berechnungen!I44</f>
        <v>0</v>
      </c>
      <c r="AU44" s="49">
        <f>(Eing_Kredit_1*(B44=Eing_Kreditstartjahr_1))</f>
        <v>25000000</v>
      </c>
      <c r="AV44" s="49">
        <f>IF((SUM(H$44:H44)-SUM(I$44:I44))&lt;=AU44,MAX((SUM(H$44:H44)-SUM(I$44:I44)),0),AU44)</f>
        <v>2730000</v>
      </c>
      <c r="AW44" s="49">
        <f t="shared" ref="AW44:AW68" si="15">IF(Eing_Kreditlaufzeit_1=0,0,(IF(Eing_Kreditlaufzeit_1&lt;&gt;0,(Eing_Kredit_1/(Eing_Kreditlaufzeit_1+Eing_Kreditstartjahr_1-Eing_StartAmortisation_Kredit1))*(Eing_Kreditlaufzeit_1&gt;B44-Eing_Kreditstartjahr_1)*(B44&gt;=Eing_StartAmortisation_Kredit1))))</f>
        <v>0</v>
      </c>
      <c r="AX44" s="49">
        <f>AV44-AW44</f>
        <v>2730000</v>
      </c>
      <c r="AY44" s="49">
        <f>(Eing_Kredit_2*(B44=Eing_Kreditstartjahr_2))</f>
        <v>0</v>
      </c>
      <c r="AZ44" s="49">
        <f>IF((SUM(H$44:H44)-SUM(I$44:I44)-AV44)&lt;=AY44,MAX((SUM(H$44:H44)-SUM(I$44:I44)-AV44),0),AY44)</f>
        <v>0</v>
      </c>
      <c r="BA44" s="49">
        <f t="shared" ref="BA44:BA68" si="16">IF(Eing_Kreditlaufzeit_2=0,0,(IF(Eing_Kreditlaufzeit_2&lt;&gt;0,(Eing_Kredit_2/(Eing_Kreditlaufzeit_2+Eing_Kreditstartjahr_2-Eing_StartAmortisation_Kredit2))*(Eing_Kreditlaufzeit_2&gt;B44-Eing_Kreditstartjahr_2)*(B44&gt;=Eing_StartAmortisation_Kredit2))))</f>
        <v>0</v>
      </c>
      <c r="BB44" s="49">
        <f>AZ44-BA44</f>
        <v>0</v>
      </c>
      <c r="BC44" s="106">
        <f t="shared" ref="BC44:BC68" si="17">SUM(-H44,AK44,AQ44)</f>
        <v>-1911900</v>
      </c>
      <c r="BD44" s="106">
        <f t="shared" ref="BD44:BD68" si="18">SUM(-H44,AK44)</f>
        <v>-8041900</v>
      </c>
    </row>
    <row r="45" spans="1:56" ht="12.95" customHeight="1" x14ac:dyDescent="0.2">
      <c r="B45" s="94">
        <f>B44+1</f>
        <v>2025</v>
      </c>
      <c r="C45" s="95" cm="1">
        <f t="array" ref="C45">(SUMPRODUCT((E3_Verbraucher!$D$21:$XFD$21&lt;B1_Berechnungen!B45)*E3_Verbraucher!$D$18:$XFD$18)+SUMPRODUCT((E3_Verbraucher!$D$21:$XFD$21=B1_Berechnungen!B45)*E3_Verbraucher!$D$18:$XFD$18*E3_Verbraucher!$D$20:$XFD$20))/(100-Eing_Netzverluste)*100*(1-Eing_AbnW/100)^(B1_Berechnungen!B45-Eing_Beginnjahr)</f>
        <v>0</v>
      </c>
      <c r="D45" s="96">
        <f t="shared" ref="D45:D68" si="19">IF(mittl_Erzeugte_Wärmemenge=0,0,C45/mittl_Erzeugte_Wärmemenge*100)</f>
        <v>0</v>
      </c>
      <c r="E45" s="98"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+Gesamtinvestition*SUMPRODUCT((E1_Projektdaten!$D$83:$D$87=B45)*E1_Projektdaten!$F$83:$F$87)/100</f>
        <v>11595000</v>
      </c>
      <c r="F45" s="182">
        <f t="shared" si="3"/>
        <v>0</v>
      </c>
      <c r="G45" s="182" cm="1">
        <f t="array" ref="G45">-SUMPRODUCT((E3_Verbraucher!$D$21:$XFD$21=B1_Berechnungen!B45)*E3_Verbraucher!$D$23:$XFD$23)</f>
        <v>0</v>
      </c>
      <c r="H45" s="98">
        <f t="shared" ref="H45:H68" si="20">SUM(E45:G45)</f>
        <v>11595000</v>
      </c>
      <c r="I45" s="182">
        <f>IF(H45&lt;=0,0,MIN(AT44,H45))</f>
        <v>0</v>
      </c>
      <c r="J45" s="103">
        <f t="shared" ref="J45:J68" si="21">AV45+AZ45</f>
        <v>14325000</v>
      </c>
      <c r="K45" s="103">
        <f>K44-H45+SUM(I45:J45)</f>
        <v>2730000</v>
      </c>
      <c r="L45" s="98">
        <f t="shared" ref="L45:L68" si="22">AL45</f>
        <v>-1055850</v>
      </c>
      <c r="M45" s="269">
        <f>IF(ISNUMBER(IRR((BD$44:BD44,BC45))),IRR((BD$44:BD44,BC45)),"-")</f>
        <v>-0.62868849401260896</v>
      </c>
      <c r="N45" s="97" cm="1">
        <f t="array" ref="N45">SUM((SUMPRODUCT((E3_Verbraucher!$D$21:$XFD$21&lt;B1_Berechnungen!B45)*E3_Verbraucher!$D$26:$XFD$26)+SUMPRODUCT((E3_Verbraucher!$D$21:$XFD$21=B1_Berechnungen!B45)*E3_Verbraucher!$D$26:$XFD$26*E3_Verbraucher!$D$20:$XFD$20))*(1+$G$30)^(B45-B$44),(SUMPRODUCT((E3_Verbraucher!$D$21:$XFD$21&lt;B1_Berechnungen!B45)*E3_Verbraucher!$D$27:$XFD$27)+SUMPRODUCT((E3_Verbraucher!$D$21:$XFD$21=B1_Berechnungen!B45)*E3_Verbraucher!$D$27:$XFD$27*E3_Verbraucher!$D$20:$XFD$20))*((1+$G$30)*(1-E1_Projektdaten!$D$20/100))^(B45-B$44))</f>
        <v>0</v>
      </c>
      <c r="O45" s="103">
        <f t="shared" si="4"/>
        <v>0</v>
      </c>
      <c r="P45" s="103">
        <f t="shared" si="5"/>
        <v>0</v>
      </c>
      <c r="Q45" s="182">
        <f t="shared" si="6"/>
        <v>0</v>
      </c>
      <c r="R45" s="99"/>
      <c r="S45" s="102"/>
      <c r="T45" s="101">
        <f t="shared" si="7"/>
        <v>0</v>
      </c>
      <c r="U45" s="97">
        <f>Energiekosten_Holzschnitzel*D45/100*((1+$G$16)^(B45-$B$44))</f>
        <v>0</v>
      </c>
      <c r="V45" s="103">
        <f>Energiekosten_WKK*D45/100*((1+$G$17)^(B45-$B$44))</f>
        <v>0</v>
      </c>
      <c r="W45" s="103">
        <f t="shared" si="8"/>
        <v>0</v>
      </c>
      <c r="X45" s="103">
        <f t="shared" si="9"/>
        <v>0</v>
      </c>
      <c r="Y45" s="98">
        <f t="shared" si="10"/>
        <v>0</v>
      </c>
      <c r="Z45" s="103">
        <f t="shared" si="11"/>
        <v>0</v>
      </c>
      <c r="AA45" s="98">
        <f t="shared" si="12"/>
        <v>0</v>
      </c>
      <c r="AB45" s="98">
        <f>($F$22*(1+$G$22)^(B45-B$44)+$F$23*(1+$G$23)^(B45-B$44))*(B45&gt;=Eing_JahrBegWLief)*VLOOKUP(B45,E1_Projektdaten!$D$83:$I$87,6)/100</f>
        <v>0</v>
      </c>
      <c r="AC45" s="98">
        <f>$F$24*(1+$G$24)^(B45-B$44)*(B45&gt;=Eing_JahrBegWLief)*VLOOKUP(B45,E1_Projektdaten!$D$83:$I$87,6)/100</f>
        <v>0</v>
      </c>
      <c r="AD45" s="98">
        <f t="shared" si="13"/>
        <v>232300</v>
      </c>
      <c r="AE45" s="99"/>
      <c r="AF45" s="100"/>
      <c r="AG45" s="95">
        <f t="shared" si="14"/>
        <v>511650</v>
      </c>
      <c r="AH45" s="101">
        <f t="shared" ref="AH45:AH68" si="23">IF(AF45,SUM(AF45:AG45),SUM(U45:AG45))</f>
        <v>743950</v>
      </c>
      <c r="AI45" s="97">
        <f t="shared" ref="AI45:AI68" si="24">SUM(AW45,BA45)</f>
        <v>0</v>
      </c>
      <c r="AJ45" s="103">
        <f t="shared" ref="AJ45:AJ68" si="25">SUM(AH45,AI45)</f>
        <v>743950</v>
      </c>
      <c r="AK45" s="98">
        <f t="shared" ref="AK45:AK68" si="26">SUM(-AJ45,T45)</f>
        <v>-743950</v>
      </c>
      <c r="AL45" s="104">
        <f t="shared" ref="AL45:AL68" si="27">AL44+AK45</f>
        <v>-1055850</v>
      </c>
      <c r="AM45" s="98">
        <f>(E1_Projektdaten!$D$68*(1+Eing_allg_Teuerung/100)^(E1_Projektdaten!$I$68*ROUNDDOWN((AS45-1)/E1_Projektdaten!$I$68,0))/E1_Projektdaten!$I$68
+E1_Projektdaten!$D$69*(1+Eing_allg_Teuerung/100)^(E1_Projektdaten!$I$69*ROUNDDOWN((AS45-1)/E1_Projektdaten!$I$69,0))/E1_Projektdaten!$I$69
+E1_Projektdaten!$D$70*(1+Eing_allg_Teuerung/100)^(E1_Projektdaten!$I$70*ROUNDDOWN((AS45-1)/E1_Projektdaten!$I$69,0))/E1_Projektdaten!$I$70
+E1_Projektdaten!$D$71*(1+Eing_allg_Teuerung/100)^(E1_Projektdaten!$I$71*ROUNDDOWN((AS45-1)/E1_Projektdaten!$I$69,0))/E1_Projektdaten!$I$71
+E1_Projektdaten!$D$72*(1+Eing_allg_Teuerung/100)^(E1_Projektdaten!$I$72*ROUNDDOWN((AS45-1)/E1_Projektdaten!$I$69,0))/E1_Projektdaten!$I$72
+E1_Projektdaten!$D$74*(1+Eing_allg_Teuerung/100)^(E1_Projektdaten!$I$74*ROUNDDOWN((AS45-1)/E1_Projektdaten!$I$69,0))/E1_Projektdaten!$I$74
+E1_Projektdaten!$D$75*(1+Eing_allg_Teuerung/100)^(E1_Projektdaten!$I$75*ROUNDDOWN((AS45-1)/E1_Projektdaten!$I$75,0))/E1_Projektdaten!$I$75
+E1_Projektdaten!$D$76*(1+Eing_allg_Teuerung/100)^(E1_Projektdaten!$I$76*ROUNDDOWN((AS45-1)/E1_Projektdaten!$I$76,0))/E1_Projektdaten!$I$76
+E1_Projektdaten!$D$77*(1+Eing_allg_Teuerung/100)^(E1_Projektdaten!$I$77*ROUNDDOWN((AS45-1)/E1_Projektdaten!$I$77,0))/E1_Projektdaten!$I$77
+E1_Projektdaten!$D$78*(1+Eing_allg_Teuerung/100)^(E1_Projektdaten!$I$78*ROUNDDOWN((AS45-1)/E1_Projektdaten!$I$78,0))/E1_Projektdaten!$I$78
+E1_Projektdaten!$D$80*(1+Eing_allg_Teuerung/100)^(E1_Projektdaten!$I$80*ROUNDDOWN((AS45-1)/E1_Projektdaten!$I$69,0))/E1_Projektdaten!$I$80
)*((AS45)&gt;0)*VLOOKUP(B45,E1_Projektdaten!$D$83:$I$87,6
)/100</f>
        <v>0</v>
      </c>
      <c r="AN45" s="266">
        <f t="shared" ref="AN45:AN68" si="28">SUM(AH45,AM45)</f>
        <v>743950</v>
      </c>
      <c r="AO45" s="266">
        <f t="shared" ref="AO45:AO68" si="29">SUM(T45,-AN45)</f>
        <v>-743950</v>
      </c>
      <c r="AP45" s="269">
        <f>AP44+AO45</f>
        <v>-1055850</v>
      </c>
      <c r="AQ45" s="198"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+(Gesamtinvestition-SUM(E1_Projektdaten!$D$79:$D$80))*SUMPRODUCT((E1_Projektdaten!$D$83:$D$87=B45)*E1_Projektdaten!$F$83:$F$87)/100-AM45
+AQ44</f>
        <v>15325000</v>
      </c>
      <c r="AR45" s="105">
        <f t="shared" ref="AR45:AR68" si="30">-SUM(AX45,BB45)</f>
        <v>-17055000</v>
      </c>
      <c r="AS45" s="199">
        <f>MAX(B1_Berechnungen!B45-E1_Projektdaten!$D$23,0)</f>
        <v>0</v>
      </c>
      <c r="AT45" s="49">
        <f>AT44-B1_Berechnungen!I45</f>
        <v>0</v>
      </c>
      <c r="AU45" s="49">
        <f t="shared" ref="AU45:AU68" si="31">AU44-AV44+(Eing_Kredit_1*(B45=Eing_Kreditstartjahr_1))</f>
        <v>22270000</v>
      </c>
      <c r="AV45" s="49">
        <f>IF((SUM(H$44:H45)-SUM(I$44:I45))&lt;=AU45,MAX((SUM(H$44:H45)-SUM(I$44:I45)),0),AU45)</f>
        <v>14325000</v>
      </c>
      <c r="AW45" s="49">
        <f t="shared" si="15"/>
        <v>0</v>
      </c>
      <c r="AX45" s="49">
        <f>AX44+AV45-AW45</f>
        <v>17055000</v>
      </c>
      <c r="AY45" s="49">
        <f t="shared" ref="AY45:AY68" si="32">AY44-AZ44+(Eing_Kredit_2*(B45=Eing_Kreditstartjahr_2))</f>
        <v>0</v>
      </c>
      <c r="AZ45" s="49">
        <f>IF((SUM(H$44:H45)-SUM(I$44:I45)-AV45)&lt;=AY45,MAX((SUM(H$44:H45)-SUM(I$44:I45)-AV45),0),AY45)</f>
        <v>0</v>
      </c>
      <c r="BA45" s="49">
        <f t="shared" si="16"/>
        <v>0</v>
      </c>
      <c r="BB45" s="49">
        <f>BB44+AZ45-BA45</f>
        <v>0</v>
      </c>
      <c r="BC45" s="106">
        <f t="shared" si="17"/>
        <v>2986050</v>
      </c>
      <c r="BD45" s="106">
        <f t="shared" si="18"/>
        <v>-12338950</v>
      </c>
    </row>
    <row r="46" spans="1:56" ht="12.95" customHeight="1" x14ac:dyDescent="0.2">
      <c r="B46" s="94">
        <f t="shared" ref="B46:B68" si="33">B45+1</f>
        <v>2026</v>
      </c>
      <c r="C46" s="95" cm="1">
        <f t="array" ref="C46">(SUMPRODUCT((E3_Verbraucher!$D$21:$XFD$21&lt;B1_Berechnungen!B46)*E3_Verbraucher!$D$18:$XFD$18)+SUMPRODUCT((E3_Verbraucher!$D$21:$XFD$21=B1_Berechnungen!B46)*E3_Verbraucher!$D$18:$XFD$18*E3_Verbraucher!$D$20:$XFD$20))/(100-Eing_Netzverluste)*100*(1-Eing_AbnW/100)^(B1_Berechnungen!B46-Eing_Beginnjahr)</f>
        <v>4212.7964999999995</v>
      </c>
      <c r="D46" s="96">
        <f t="shared" si="19"/>
        <v>29.381131271059186</v>
      </c>
      <c r="E46" s="98"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+Gesamtinvestition*SUMPRODUCT((E1_Projektdaten!$D$83:$D$87=B46)*E1_Projektdaten!$F$83:$F$87)/100</f>
        <v>15460000</v>
      </c>
      <c r="F46" s="182">
        <f t="shared" si="3"/>
        <v>0</v>
      </c>
      <c r="G46" s="182" cm="1">
        <f t="array" ref="G46">-SUMPRODUCT((E3_Verbraucher!$D$21:$XFD$21=B1_Berechnungen!B46)*E3_Verbraucher!$D$23:$XFD$23)</f>
        <v>-3553200</v>
      </c>
      <c r="H46" s="98">
        <f t="shared" si="20"/>
        <v>11906800</v>
      </c>
      <c r="I46" s="182">
        <f t="shared" ref="I46:I68" si="34">IF(H46&lt;=0,0,MIN(AT45,H46))</f>
        <v>0</v>
      </c>
      <c r="J46" s="103">
        <f t="shared" si="21"/>
        <v>10945000</v>
      </c>
      <c r="K46" s="103">
        <f t="shared" ref="K46:K68" si="35">K45-H46+SUM(I46:J46)</f>
        <v>1768200</v>
      </c>
      <c r="L46" s="98">
        <f t="shared" si="22"/>
        <v>-2022156.0962689666</v>
      </c>
      <c r="M46" s="269">
        <f>IF(ISNUMBER(IRR((BD$44:BD45,BC46))),IRR((BD$44:BD45,BC46)),"-")</f>
        <v>-0.21219064267072552</v>
      </c>
      <c r="N46" s="97" cm="1">
        <f t="array" ref="N46">SUM((SUMPRODUCT((E3_Verbraucher!$D$21:$XFD$21&lt;B1_Berechnungen!B46)*E3_Verbraucher!$D$26:$XFD$26)+SUMPRODUCT((E3_Verbraucher!$D$21:$XFD$21=B1_Berechnungen!B46)*E3_Verbraucher!$D$26:$XFD$26*E3_Verbraucher!$D$20:$XFD$20))*(1+$G$30)^(B46-B$44),(SUMPRODUCT((E3_Verbraucher!$D$21:$XFD$21&lt;B1_Berechnungen!B46)*E3_Verbraucher!$D$27:$XFD$27)+SUMPRODUCT((E3_Verbraucher!$D$21:$XFD$21=B1_Berechnungen!B46)*E3_Verbraucher!$D$27:$XFD$27*E3_Verbraucher!$D$20:$XFD$20))*((1+$G$30)*(1-E1_Projektdaten!$D$20/100))^(B46-B$44))</f>
        <v>881493.08111850009</v>
      </c>
      <c r="O46" s="103">
        <f t="shared" si="4"/>
        <v>152968.5766949917</v>
      </c>
      <c r="P46" s="103">
        <f t="shared" si="5"/>
        <v>143864.12164611588</v>
      </c>
      <c r="Q46" s="182">
        <f t="shared" si="6"/>
        <v>0</v>
      </c>
      <c r="R46" s="99"/>
      <c r="S46" s="102"/>
      <c r="T46" s="101">
        <f t="shared" si="7"/>
        <v>1178325.7794596076</v>
      </c>
      <c r="U46" s="97">
        <f>Energiekosten_Holzschnitzel*D46/100*((1+$G$16)^(B46-$B$44))</f>
        <v>141816.63241844997</v>
      </c>
      <c r="V46" s="103">
        <f>Energiekosten_WKK*D46/100*((1+$G$17)^(B46-$B$44))</f>
        <v>177270.79052306246</v>
      </c>
      <c r="W46" s="103">
        <f t="shared" si="8"/>
        <v>0</v>
      </c>
      <c r="X46" s="103">
        <f t="shared" si="9"/>
        <v>0</v>
      </c>
      <c r="Y46" s="98">
        <f t="shared" si="10"/>
        <v>60670.217077411748</v>
      </c>
      <c r="Z46" s="103">
        <f t="shared" si="11"/>
        <v>0</v>
      </c>
      <c r="AA46" s="98">
        <f t="shared" si="12"/>
        <v>4297.4737096499975</v>
      </c>
      <c r="AB46" s="98">
        <f>($F$22*(1+$G$22)^(B46-B$44)+$F$23*(1+$G$23)^(B46-B$44))*(B46&gt;=Eing_JahrBegWLief)*VLOOKUP(B46,E1_Projektdaten!$D$83:$I$87,6)/100</f>
        <v>219239.89199999999</v>
      </c>
      <c r="AC46" s="98">
        <f>$F$24*(1+$G$24)^(B46-B$44)*(B46&gt;=Eing_JahrBegWLief)*VLOOKUP(B46,E1_Projektdaten!$D$83:$I$87,6)/100</f>
        <v>406713.87</v>
      </c>
      <c r="AD46" s="98">
        <f t="shared" si="13"/>
        <v>234623</v>
      </c>
      <c r="AE46" s="99"/>
      <c r="AF46" s="100"/>
      <c r="AG46" s="95">
        <f t="shared" si="14"/>
        <v>900000</v>
      </c>
      <c r="AH46" s="101">
        <f t="shared" si="23"/>
        <v>2144631.8757285741</v>
      </c>
      <c r="AI46" s="97">
        <f t="shared" si="24"/>
        <v>0</v>
      </c>
      <c r="AJ46" s="103">
        <f t="shared" si="25"/>
        <v>2144631.8757285741</v>
      </c>
      <c r="AK46" s="98">
        <f t="shared" si="26"/>
        <v>-966306.09626896656</v>
      </c>
      <c r="AL46" s="104">
        <f t="shared" si="27"/>
        <v>-2022156.0962689666</v>
      </c>
      <c r="AM46" s="98">
        <f>(E1_Projektdaten!$D$68*(1+Eing_allg_Teuerung/100)^(E1_Projektdaten!$I$68*ROUNDDOWN((AS46-1)/E1_Projektdaten!$I$68,0))/E1_Projektdaten!$I$68
+E1_Projektdaten!$D$69*(1+Eing_allg_Teuerung/100)^(E1_Projektdaten!$I$69*ROUNDDOWN((AS46-1)/E1_Projektdaten!$I$69,0))/E1_Projektdaten!$I$69
+E1_Projektdaten!$D$70*(1+Eing_allg_Teuerung/100)^(E1_Projektdaten!$I$70*ROUNDDOWN((AS46-1)/E1_Projektdaten!$I$69,0))/E1_Projektdaten!$I$70
+E1_Projektdaten!$D$71*(1+Eing_allg_Teuerung/100)^(E1_Projektdaten!$I$71*ROUNDDOWN((AS46-1)/E1_Projektdaten!$I$69,0))/E1_Projektdaten!$I$71
+E1_Projektdaten!$D$72*(1+Eing_allg_Teuerung/100)^(E1_Projektdaten!$I$72*ROUNDDOWN((AS46-1)/E1_Projektdaten!$I$69,0))/E1_Projektdaten!$I$72
+E1_Projektdaten!$D$74*(1+Eing_allg_Teuerung/100)^(E1_Projektdaten!$I$74*ROUNDDOWN((AS46-1)/E1_Projektdaten!$I$69,0))/E1_Projektdaten!$I$74
+E1_Projektdaten!$D$75*(1+Eing_allg_Teuerung/100)^(E1_Projektdaten!$I$75*ROUNDDOWN((AS46-1)/E1_Projektdaten!$I$75,0))/E1_Projektdaten!$I$75
+E1_Projektdaten!$D$76*(1+Eing_allg_Teuerung/100)^(E1_Projektdaten!$I$76*ROUNDDOWN((AS46-1)/E1_Projektdaten!$I$76,0))/E1_Projektdaten!$I$76
+E1_Projektdaten!$D$77*(1+Eing_allg_Teuerung/100)^(E1_Projektdaten!$I$77*ROUNDDOWN((AS46-1)/E1_Projektdaten!$I$77,0))/E1_Projektdaten!$I$77
+E1_Projektdaten!$D$78*(1+Eing_allg_Teuerung/100)^(E1_Projektdaten!$I$78*ROUNDDOWN((AS46-1)/E1_Projektdaten!$I$78,0))/E1_Projektdaten!$I$78
+E1_Projektdaten!$D$80*(1+Eing_allg_Teuerung/100)^(E1_Projektdaten!$I$80*ROUNDDOWN((AS46-1)/E1_Projektdaten!$I$69,0))/E1_Projektdaten!$I$80
)*((AS46)&gt;0)*VLOOKUP(B46,E1_Projektdaten!$D$83:$I$87,6
)/100</f>
        <v>0</v>
      </c>
      <c r="AN46" s="266">
        <f t="shared" si="28"/>
        <v>2144631.8757285741</v>
      </c>
      <c r="AO46" s="266">
        <f t="shared" si="29"/>
        <v>-966306.09626896656</v>
      </c>
      <c r="AP46" s="269">
        <f t="shared" ref="AP46:AP68" si="36">AP45+AO46</f>
        <v>-2022156.0962689666</v>
      </c>
      <c r="AQ46" s="198"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+(Gesamtinvestition-SUM(E1_Projektdaten!$D$79:$D$80))*SUMPRODUCT((E1_Projektdaten!$D$83:$D$87=B46)*E1_Projektdaten!$F$83:$F$87)/100-AM46
+AQ45</f>
        <v>27585000</v>
      </c>
      <c r="AR46" s="105">
        <f t="shared" si="30"/>
        <v>-28000000</v>
      </c>
      <c r="AS46" s="199">
        <f>MAX(B1_Berechnungen!B46-E1_Projektdaten!$D$23,0)</f>
        <v>0</v>
      </c>
      <c r="AT46" s="49">
        <f>AT45-B1_Berechnungen!I46</f>
        <v>0</v>
      </c>
      <c r="AU46" s="49">
        <f t="shared" si="31"/>
        <v>7945000</v>
      </c>
      <c r="AV46" s="49">
        <f>IF((SUM(H$44:H46)-SUM(I$44:I46))&lt;=AU46,MAX((SUM(H$44:H46)-SUM(I$44:I46)),0),AU46)</f>
        <v>7945000</v>
      </c>
      <c r="AW46" s="49">
        <f t="shared" si="15"/>
        <v>0</v>
      </c>
      <c r="AX46" s="49">
        <f t="shared" ref="AX46:AX68" si="37">AX45+AV46-AW46</f>
        <v>25000000</v>
      </c>
      <c r="AY46" s="49">
        <f t="shared" si="32"/>
        <v>3000000</v>
      </c>
      <c r="AZ46" s="49">
        <f>IF((SUM(H$44:H46)-SUM(I$44:I46)-AV46)&lt;=AY46,MAX((SUM(H$44:H46)-SUM(I$44:I46)-AV46),0),AY46)</f>
        <v>3000000</v>
      </c>
      <c r="BA46" s="49">
        <f t="shared" si="16"/>
        <v>0</v>
      </c>
      <c r="BB46" s="49">
        <f t="shared" ref="BB46:BB68" si="38">BB45+AZ46-BA46</f>
        <v>3000000</v>
      </c>
      <c r="BC46" s="106">
        <f t="shared" si="17"/>
        <v>14711893.903731033</v>
      </c>
      <c r="BD46" s="106">
        <f t="shared" si="18"/>
        <v>-12873106.096268967</v>
      </c>
    </row>
    <row r="47" spans="1:56" ht="12.95" customHeight="1" x14ac:dyDescent="0.2">
      <c r="B47" s="94">
        <f t="shared" si="33"/>
        <v>2027</v>
      </c>
      <c r="C47" s="95" cm="1">
        <f t="array" ref="C47">(SUMPRODUCT((E3_Verbraucher!$D$21:$XFD$21&lt;B1_Berechnungen!B47)*E3_Verbraucher!$D$18:$XFD$18)+SUMPRODUCT((E3_Verbraucher!$D$21:$XFD$21=B1_Berechnungen!B47)*E3_Verbraucher!$D$18:$XFD$18*E3_Verbraucher!$D$20:$XFD$20))/(100-Eing_Netzverluste)*100*(1-Eing_AbnW/100)^(B1_Berechnungen!B47-Eing_Beginnjahr)</f>
        <v>10217.787525</v>
      </c>
      <c r="D47" s="96">
        <f t="shared" si="19"/>
        <v>71.261490217202748</v>
      </c>
      <c r="E47" s="98"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+Gesamtinvestition*SUMPRODUCT((E1_Projektdaten!$D$83:$D$87=B47)*E1_Projektdaten!$F$83:$F$87)/100</f>
        <v>3865000</v>
      </c>
      <c r="F47" s="182">
        <f t="shared" si="3"/>
        <v>0</v>
      </c>
      <c r="G47" s="182" cm="1">
        <f t="array" ref="G47">-SUMPRODUCT((E3_Verbraucher!$D$21:$XFD$21=B1_Berechnungen!B47)*E3_Verbraucher!$D$23:$XFD$23)</f>
        <v>-1480000</v>
      </c>
      <c r="H47" s="98">
        <f t="shared" si="20"/>
        <v>2385000</v>
      </c>
      <c r="I47" s="182">
        <f t="shared" si="34"/>
        <v>0</v>
      </c>
      <c r="J47" s="103">
        <f t="shared" si="21"/>
        <v>0</v>
      </c>
      <c r="K47" s="103">
        <f t="shared" si="35"/>
        <v>-616800</v>
      </c>
      <c r="L47" s="98">
        <f t="shared" si="22"/>
        <v>-2617116.8701626621</v>
      </c>
      <c r="M47" s="269">
        <f>IF(ISNUMBER(IRR((BD$44:BD46,BC47))),IRR((BD$44:BD46,BC47)),"-")</f>
        <v>-0.11727840719987281</v>
      </c>
      <c r="N47" s="97" cm="1">
        <f t="array" ref="N47">SUM((SUMPRODUCT((E3_Verbraucher!$D$21:$XFD$21&lt;B1_Berechnungen!B47)*E3_Verbraucher!$D$26:$XFD$26)+SUMPRODUCT((E3_Verbraucher!$D$21:$XFD$21=B1_Berechnungen!B47)*E3_Verbraucher!$D$26:$XFD$26*E3_Verbraucher!$D$20:$XFD$20))*(1+$G$30)^(B47-B$44),(SUMPRODUCT((E3_Verbraucher!$D$21:$XFD$21&lt;B1_Berechnungen!B47)*E3_Verbraucher!$D$27:$XFD$27)+SUMPRODUCT((E3_Verbraucher!$D$21:$XFD$21=B1_Berechnungen!B47)*E3_Verbraucher!$D$27:$XFD$27*E3_Verbraucher!$D$20:$XFD$20))*((1+$G$30)*(1-E1_Projektdaten!$D$20/100))^(B47-B$44))</f>
        <v>2170633.8991265525</v>
      </c>
      <c r="O47" s="103">
        <f t="shared" si="4"/>
        <v>374722.68570717884</v>
      </c>
      <c r="P47" s="103">
        <f t="shared" si="5"/>
        <v>352419.76623491617</v>
      </c>
      <c r="Q47" s="182">
        <f t="shared" si="6"/>
        <v>0</v>
      </c>
      <c r="R47" s="99"/>
      <c r="S47" s="102"/>
      <c r="T47" s="101">
        <f t="shared" si="7"/>
        <v>2897776.3510686476</v>
      </c>
      <c r="U47" s="97">
        <f>Energiekosten_Holzschnitzel*D47/100*((1+$G$16)^(B47-$B$44))</f>
        <v>347404.09125823586</v>
      </c>
      <c r="V47" s="103">
        <f>Energiekosten_WKK*D47/100*((1+$G$17)^(B47-$B$44))</f>
        <v>434255.11407279473</v>
      </c>
      <c r="W47" s="103">
        <f t="shared" si="8"/>
        <v>0</v>
      </c>
      <c r="X47" s="103">
        <f t="shared" si="9"/>
        <v>0</v>
      </c>
      <c r="Y47" s="98">
        <f t="shared" si="10"/>
        <v>148622.07112651799</v>
      </c>
      <c r="Z47" s="103">
        <f t="shared" si="11"/>
        <v>0</v>
      </c>
      <c r="AA47" s="98">
        <f t="shared" si="12"/>
        <v>10527.396704795021</v>
      </c>
      <c r="AB47" s="98">
        <f>($F$22*(1+$G$22)^(B47-B$44)+$F$23*(1+$G$23)^(B47-B$44))*(B47&gt;=Eing_JahrBegWLief)*VLOOKUP(B47,E1_Projektdaten!$D$83:$I$87,6)/100</f>
        <v>246035.87879999998</v>
      </c>
      <c r="AC47" s="98">
        <f>$F$24*(1+$G$24)^(B47-B$44)*(B47&gt;=Eing_JahrBegWLief)*VLOOKUP(B47,E1_Projektdaten!$D$83:$I$87,6)/100</f>
        <v>456423.34299999999</v>
      </c>
      <c r="AD47" s="98">
        <f t="shared" si="13"/>
        <v>236969.22999999998</v>
      </c>
      <c r="AE47" s="99"/>
      <c r="AF47" s="100"/>
      <c r="AG47" s="95">
        <f t="shared" si="14"/>
        <v>862500</v>
      </c>
      <c r="AH47" s="101">
        <f t="shared" si="23"/>
        <v>2742737.1249623434</v>
      </c>
      <c r="AI47" s="97">
        <f t="shared" si="24"/>
        <v>750000</v>
      </c>
      <c r="AJ47" s="103">
        <f t="shared" si="25"/>
        <v>3492737.1249623434</v>
      </c>
      <c r="AK47" s="98">
        <f t="shared" si="26"/>
        <v>-594960.77389369579</v>
      </c>
      <c r="AL47" s="104">
        <f t="shared" si="27"/>
        <v>-2617116.8701626621</v>
      </c>
      <c r="AM47" s="98">
        <f>(E1_Projektdaten!$D$68*(1+Eing_allg_Teuerung/100)^(E1_Projektdaten!$I$68*ROUNDDOWN((AS47-1)/E1_Projektdaten!$I$68,0))/E1_Projektdaten!$I$68
+E1_Projektdaten!$D$69*(1+Eing_allg_Teuerung/100)^(E1_Projektdaten!$I$69*ROUNDDOWN((AS47-1)/E1_Projektdaten!$I$69,0))/E1_Projektdaten!$I$69
+E1_Projektdaten!$D$70*(1+Eing_allg_Teuerung/100)^(E1_Projektdaten!$I$70*ROUNDDOWN((AS47-1)/E1_Projektdaten!$I$69,0))/E1_Projektdaten!$I$70
+E1_Projektdaten!$D$71*(1+Eing_allg_Teuerung/100)^(E1_Projektdaten!$I$71*ROUNDDOWN((AS47-1)/E1_Projektdaten!$I$69,0))/E1_Projektdaten!$I$71
+E1_Projektdaten!$D$72*(1+Eing_allg_Teuerung/100)^(E1_Projektdaten!$I$72*ROUNDDOWN((AS47-1)/E1_Projektdaten!$I$69,0))/E1_Projektdaten!$I$72
+E1_Projektdaten!$D$74*(1+Eing_allg_Teuerung/100)^(E1_Projektdaten!$I$74*ROUNDDOWN((AS47-1)/E1_Projektdaten!$I$69,0))/E1_Projektdaten!$I$74
+E1_Projektdaten!$D$75*(1+Eing_allg_Teuerung/100)^(E1_Projektdaten!$I$75*ROUNDDOWN((AS47-1)/E1_Projektdaten!$I$75,0))/E1_Projektdaten!$I$75
+E1_Projektdaten!$D$76*(1+Eing_allg_Teuerung/100)^(E1_Projektdaten!$I$76*ROUNDDOWN((AS47-1)/E1_Projektdaten!$I$76,0))/E1_Projektdaten!$I$76
+E1_Projektdaten!$D$77*(1+Eing_allg_Teuerung/100)^(E1_Projektdaten!$I$77*ROUNDDOWN((AS47-1)/E1_Projektdaten!$I$77,0))/E1_Projektdaten!$I$77
+E1_Projektdaten!$D$78*(1+Eing_allg_Teuerung/100)^(E1_Projektdaten!$I$78*ROUNDDOWN((AS47-1)/E1_Projektdaten!$I$78,0))/E1_Projektdaten!$I$78
+E1_Projektdaten!$D$80*(1+Eing_allg_Teuerung/100)^(E1_Projektdaten!$I$80*ROUNDDOWN((AS47-1)/E1_Projektdaten!$I$69,0))/E1_Projektdaten!$I$80
)*((AS47)&gt;0)*VLOOKUP(B47,E1_Projektdaten!$D$83:$I$87,6
)/100</f>
        <v>1160858.1653520304</v>
      </c>
      <c r="AN47" s="266">
        <f t="shared" si="28"/>
        <v>3903595.2903143736</v>
      </c>
      <c r="AO47" s="266">
        <f t="shared" si="29"/>
        <v>-1005818.939245726</v>
      </c>
      <c r="AP47" s="269">
        <f t="shared" si="36"/>
        <v>-3027975.0355146928</v>
      </c>
      <c r="AQ47" s="198"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+(Gesamtinvestition-SUM(E1_Projektdaten!$D$79:$D$80))*SUMPRODUCT((E1_Projektdaten!$D$83:$D$87=B47)*E1_Projektdaten!$F$83:$F$87)/100-AM47
+AQ46</f>
        <v>29489141.834647968</v>
      </c>
      <c r="AR47" s="105">
        <f t="shared" si="30"/>
        <v>-27250000</v>
      </c>
      <c r="AS47" s="199">
        <f>MAX(B1_Berechnungen!B47-E1_Projektdaten!$D$23,0)</f>
        <v>1</v>
      </c>
      <c r="AT47" s="49">
        <f>AT46-B1_Berechnungen!I47</f>
        <v>0</v>
      </c>
      <c r="AU47" s="49">
        <f t="shared" si="31"/>
        <v>0</v>
      </c>
      <c r="AV47" s="49">
        <f>IF((SUM(H$44:H47)-SUM(I$44:I47))&lt;=AU47,MAX((SUM(H$44:H47)-SUM(I$44:I47)),0),AU47)</f>
        <v>0</v>
      </c>
      <c r="AW47" s="49">
        <f t="shared" si="15"/>
        <v>0</v>
      </c>
      <c r="AX47" s="49">
        <f t="shared" si="37"/>
        <v>25000000</v>
      </c>
      <c r="AY47" s="49">
        <f t="shared" si="32"/>
        <v>0</v>
      </c>
      <c r="AZ47" s="49">
        <f>IF((SUM(H$44:H47)-SUM(I$44:I47)-AV47)&lt;=AY47,MAX((SUM(H$44:H47)-SUM(I$44:I47)-AV47),0),AY47)</f>
        <v>0</v>
      </c>
      <c r="BA47" s="49">
        <f t="shared" si="16"/>
        <v>750000</v>
      </c>
      <c r="BB47" s="49">
        <f t="shared" si="38"/>
        <v>2250000</v>
      </c>
      <c r="BC47" s="106">
        <f t="shared" si="17"/>
        <v>26509181.060754273</v>
      </c>
      <c r="BD47" s="106">
        <f t="shared" si="18"/>
        <v>-2979960.7738936958</v>
      </c>
    </row>
    <row r="48" spans="1:56" ht="12.95" customHeight="1" x14ac:dyDescent="0.2">
      <c r="B48" s="94">
        <f t="shared" si="33"/>
        <v>2028</v>
      </c>
      <c r="C48" s="95" cm="1">
        <f t="array" ref="C48">(SUMPRODUCT((E3_Verbraucher!$D$21:$XFD$21&lt;B1_Berechnungen!B48)*E3_Verbraucher!$D$18:$XFD$18)+SUMPRODUCT((E3_Verbraucher!$D$21:$XFD$21=B1_Berechnungen!B48)*E3_Verbraucher!$D$18:$XFD$18*E3_Verbraucher!$D$20:$XFD$20))/(100-Eing_Netzverluste)*100*(1-Eing_AbnW/100)^(B1_Berechnungen!B48-Eing_Beginnjahr)</f>
        <v>13942.5174207</v>
      </c>
      <c r="D48" s="96">
        <f t="shared" si="19"/>
        <v>97.238718885808112</v>
      </c>
      <c r="E48" s="98"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+Gesamtinvestition*SUMPRODUCT((E1_Projektdaten!$D$83:$D$87=B48)*E1_Projektdaten!$F$83:$F$87)/100</f>
        <v>0</v>
      </c>
      <c r="F48" s="182">
        <f t="shared" si="3"/>
        <v>-1000000</v>
      </c>
      <c r="G48" s="182" cm="1">
        <f t="array" ref="G48">-SUMPRODUCT((E3_Verbraucher!$D$21:$XFD$21=B1_Berechnungen!B48)*E3_Verbraucher!$D$23:$XFD$23)</f>
        <v>-1901000</v>
      </c>
      <c r="H48" s="98">
        <f t="shared" si="20"/>
        <v>-2901000</v>
      </c>
      <c r="I48" s="182">
        <f t="shared" si="34"/>
        <v>0</v>
      </c>
      <c r="J48" s="103">
        <f t="shared" si="21"/>
        <v>0</v>
      </c>
      <c r="K48" s="103">
        <f t="shared" si="35"/>
        <v>2284200</v>
      </c>
      <c r="L48" s="98">
        <f t="shared" si="22"/>
        <v>-3359433.4759688894</v>
      </c>
      <c r="M48" s="269">
        <f>IF(ISNUMBER(IRR((BD$44:BD47,BC48))),IRR((BD$44:BD47,BC48)),"-")</f>
        <v>-6.2501826864486354E-2</v>
      </c>
      <c r="N48" s="97" cm="1">
        <f t="array" ref="N48">SUM((SUMPRODUCT((E3_Verbraucher!$D$21:$XFD$21&lt;B1_Berechnungen!B48)*E3_Verbraucher!$D$26:$XFD$26)+SUMPRODUCT((E3_Verbraucher!$D$21:$XFD$21=B1_Berechnungen!B48)*E3_Verbraucher!$D$26:$XFD$26*E3_Verbraucher!$D$20:$XFD$20))*(1+$G$30)^(B48-B$44),(SUMPRODUCT((E3_Verbraucher!$D$21:$XFD$21&lt;B1_Berechnungen!B48)*E3_Verbraucher!$D$27:$XFD$27)+SUMPRODUCT((E3_Verbraucher!$D$21:$XFD$21=B1_Berechnungen!B48)*E3_Verbraucher!$D$27:$XFD$27*E3_Verbraucher!$D$20:$XFD$20))*((1+$G$30)*(1-E1_Projektdaten!$D$20/100))^(B48-B$44))</f>
        <v>3008668.7875172254</v>
      </c>
      <c r="O48" s="103">
        <f t="shared" si="4"/>
        <v>516435.0243364324</v>
      </c>
      <c r="P48" s="103">
        <f t="shared" si="5"/>
        <v>485697.60383920633</v>
      </c>
      <c r="Q48" s="182">
        <f t="shared" si="6"/>
        <v>0</v>
      </c>
      <c r="R48" s="99"/>
      <c r="S48" s="102"/>
      <c r="T48" s="101">
        <f t="shared" si="7"/>
        <v>4010801.4156928645</v>
      </c>
      <c r="U48" s="97">
        <f>Energiekosten_Holzschnitzel*D48/100*((1+$G$16)^(B48-$B$44))</f>
        <v>478785.10473668424</v>
      </c>
      <c r="V48" s="103">
        <f>Energiekosten_WKK*D48/100*((1+$G$17)^(B48-$B$44))</f>
        <v>598481.38092085521</v>
      </c>
      <c r="W48" s="103">
        <f t="shared" si="8"/>
        <v>0</v>
      </c>
      <c r="X48" s="103">
        <f t="shared" si="9"/>
        <v>0</v>
      </c>
      <c r="Y48" s="98">
        <f t="shared" si="10"/>
        <v>204827.85229376864</v>
      </c>
      <c r="Z48" s="103">
        <f t="shared" si="11"/>
        <v>0</v>
      </c>
      <c r="AA48" s="98">
        <f t="shared" si="12"/>
        <v>14508.639537475272</v>
      </c>
      <c r="AB48" s="98">
        <f>($F$22*(1+$G$22)^(B48-B$44)+$F$23*(1+$G$23)^(B48-B$44))*(B48&gt;=Eing_JahrBegWLief)*VLOOKUP(B48,E1_Projektdaten!$D$83:$I$87,6)/100</f>
        <v>248496.23758799999</v>
      </c>
      <c r="AC48" s="98">
        <f>$F$24*(1+$G$24)^(B48-B$44)*(B48&gt;=Eing_JahrBegWLief)*VLOOKUP(B48,E1_Projektdaten!$D$83:$I$87,6)/100</f>
        <v>460987.57643000002</v>
      </c>
      <c r="AD48" s="98">
        <f t="shared" si="13"/>
        <v>239338.92230000001</v>
      </c>
      <c r="AE48" s="99"/>
      <c r="AF48" s="100"/>
      <c r="AG48" s="95">
        <f t="shared" si="14"/>
        <v>796153.84615384624</v>
      </c>
      <c r="AH48" s="101">
        <f t="shared" si="23"/>
        <v>3041579.5599606298</v>
      </c>
      <c r="AI48" s="97">
        <f t="shared" si="24"/>
        <v>1711538.4615384615</v>
      </c>
      <c r="AJ48" s="103">
        <f t="shared" si="25"/>
        <v>4753118.0214990918</v>
      </c>
      <c r="AK48" s="98">
        <f t="shared" si="26"/>
        <v>-742316.60580622731</v>
      </c>
      <c r="AL48" s="104">
        <f t="shared" si="27"/>
        <v>-3359433.4759688894</v>
      </c>
      <c r="AM48" s="98">
        <f>(E1_Projektdaten!$D$68*(1+Eing_allg_Teuerung/100)^(E1_Projektdaten!$I$68*ROUNDDOWN((AS48-1)/E1_Projektdaten!$I$68,0))/E1_Projektdaten!$I$68
+E1_Projektdaten!$D$69*(1+Eing_allg_Teuerung/100)^(E1_Projektdaten!$I$69*ROUNDDOWN((AS48-1)/E1_Projektdaten!$I$69,0))/E1_Projektdaten!$I$69
+E1_Projektdaten!$D$70*(1+Eing_allg_Teuerung/100)^(E1_Projektdaten!$I$70*ROUNDDOWN((AS48-1)/E1_Projektdaten!$I$69,0))/E1_Projektdaten!$I$70
+E1_Projektdaten!$D$71*(1+Eing_allg_Teuerung/100)^(E1_Projektdaten!$I$71*ROUNDDOWN((AS48-1)/E1_Projektdaten!$I$69,0))/E1_Projektdaten!$I$71
+E1_Projektdaten!$D$72*(1+Eing_allg_Teuerung/100)^(E1_Projektdaten!$I$72*ROUNDDOWN((AS48-1)/E1_Projektdaten!$I$69,0))/E1_Projektdaten!$I$72
+E1_Projektdaten!$D$74*(1+Eing_allg_Teuerung/100)^(E1_Projektdaten!$I$74*ROUNDDOWN((AS48-1)/E1_Projektdaten!$I$69,0))/E1_Projektdaten!$I$74
+E1_Projektdaten!$D$75*(1+Eing_allg_Teuerung/100)^(E1_Projektdaten!$I$75*ROUNDDOWN((AS48-1)/E1_Projektdaten!$I$75,0))/E1_Projektdaten!$I$75
+E1_Projektdaten!$D$76*(1+Eing_allg_Teuerung/100)^(E1_Projektdaten!$I$76*ROUNDDOWN((AS48-1)/E1_Projektdaten!$I$76,0))/E1_Projektdaten!$I$76
+E1_Projektdaten!$D$77*(1+Eing_allg_Teuerung/100)^(E1_Projektdaten!$I$77*ROUNDDOWN((AS48-1)/E1_Projektdaten!$I$77,0))/E1_Projektdaten!$I$77
+E1_Projektdaten!$D$78*(1+Eing_allg_Teuerung/100)^(E1_Projektdaten!$I$78*ROUNDDOWN((AS48-1)/E1_Projektdaten!$I$78,0))/E1_Projektdaten!$I$78
+E1_Projektdaten!$D$80*(1+Eing_allg_Teuerung/100)^(E1_Projektdaten!$I$80*ROUNDDOWN((AS48-1)/E1_Projektdaten!$I$69,0))/E1_Projektdaten!$I$80
)*((AS48)&gt;0)*VLOOKUP(B48,E1_Projektdaten!$D$83:$I$87,6
)/100</f>
        <v>1160858.1653520304</v>
      </c>
      <c r="AN48" s="266">
        <f t="shared" si="28"/>
        <v>4202437.7253126604</v>
      </c>
      <c r="AO48" s="266">
        <f t="shared" si="29"/>
        <v>-191636.309619796</v>
      </c>
      <c r="AP48" s="269">
        <f t="shared" si="36"/>
        <v>-3219611.3451344888</v>
      </c>
      <c r="AQ48" s="198"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+(Gesamtinvestition-SUM(E1_Projektdaten!$D$79:$D$80))*SUMPRODUCT((E1_Projektdaten!$D$83:$D$87=B48)*E1_Projektdaten!$F$83:$F$87)/100-AM48
+AQ47</f>
        <v>28328283.669295937</v>
      </c>
      <c r="AR48" s="105">
        <f t="shared" si="30"/>
        <v>-25538461.53846154</v>
      </c>
      <c r="AS48" s="199">
        <f>MAX(B1_Berechnungen!B48-E1_Projektdaten!$D$23,0)</f>
        <v>2</v>
      </c>
      <c r="AT48" s="49">
        <f>AT47-B1_Berechnungen!I48</f>
        <v>0</v>
      </c>
      <c r="AU48" s="49">
        <f t="shared" si="31"/>
        <v>0</v>
      </c>
      <c r="AV48" s="49">
        <f>IF((SUM(H$44:H48)-SUM(I$44:I48))&lt;=AU48,MAX((SUM(H$44:H48)-SUM(I$44:I48)),0),AU48)</f>
        <v>0</v>
      </c>
      <c r="AW48" s="49">
        <f t="shared" si="15"/>
        <v>961538.4615384615</v>
      </c>
      <c r="AX48" s="49">
        <f t="shared" si="37"/>
        <v>24038461.53846154</v>
      </c>
      <c r="AY48" s="49">
        <f t="shared" si="32"/>
        <v>0</v>
      </c>
      <c r="AZ48" s="49">
        <f>IF((SUM(H$44:H48)-SUM(I$44:I48)-AV48)&lt;=AY48,MAX((SUM(H$44:H48)-SUM(I$44:I48)-AV48),0),AY48)</f>
        <v>0</v>
      </c>
      <c r="BA48" s="49">
        <f t="shared" si="16"/>
        <v>750000</v>
      </c>
      <c r="BB48" s="49">
        <f t="shared" si="38"/>
        <v>1500000</v>
      </c>
      <c r="BC48" s="106">
        <f t="shared" si="17"/>
        <v>30486967.063489709</v>
      </c>
      <c r="BD48" s="106">
        <f t="shared" si="18"/>
        <v>2158683.3941937727</v>
      </c>
    </row>
    <row r="49" spans="2:56" ht="12.95" customHeight="1" x14ac:dyDescent="0.2">
      <c r="B49" s="94">
        <f t="shared" si="33"/>
        <v>2029</v>
      </c>
      <c r="C49" s="95" cm="1">
        <f t="array" ref="C49">(SUMPRODUCT((E3_Verbraucher!$D$21:$XFD$21&lt;B1_Berechnungen!B49)*E3_Verbraucher!$D$18:$XFD$18)+SUMPRODUCT((E3_Verbraucher!$D$21:$XFD$21=B1_Berechnungen!B49)*E3_Verbraucher!$D$18:$XFD$18*E3_Verbraucher!$D$20:$XFD$20))/(100-Eing_Netzverluste)*100*(1-Eing_AbnW/100)^(B1_Berechnungen!B49-Eing_Beginnjahr)</f>
        <v>15884.703800162997</v>
      </c>
      <c r="D49" s="96">
        <f t="shared" si="19"/>
        <v>110.78402850801878</v>
      </c>
      <c r="E49" s="98"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+Gesamtinvestition*SUMPRODUCT((E1_Projektdaten!$D$83:$D$87=B49)*E1_Projektdaten!$F$83:$F$87)/100</f>
        <v>0</v>
      </c>
      <c r="F49" s="182">
        <f t="shared" si="3"/>
        <v>-1200000</v>
      </c>
      <c r="G49" s="182" cm="1">
        <f t="array" ref="G49">-SUMPRODUCT((E3_Verbraucher!$D$21:$XFD$21=B1_Berechnungen!B49)*E3_Verbraucher!$D$23:$XFD$23)</f>
        <v>-143000</v>
      </c>
      <c r="H49" s="98">
        <f t="shared" si="20"/>
        <v>-1343000</v>
      </c>
      <c r="I49" s="182">
        <f t="shared" si="34"/>
        <v>0</v>
      </c>
      <c r="J49" s="103">
        <f t="shared" si="21"/>
        <v>0</v>
      </c>
      <c r="K49" s="103">
        <f t="shared" si="35"/>
        <v>3627200</v>
      </c>
      <c r="L49" s="98">
        <f t="shared" si="22"/>
        <v>-3612977.0270653809</v>
      </c>
      <c r="M49" s="269">
        <f>IF(ISNUMBER(IRR((BD$44:BD48,BC49))),IRR((BD$44:BD48,BC49)),"-")</f>
        <v>-4.7293103665865921E-2</v>
      </c>
      <c r="N49" s="97" cm="1">
        <f t="array" ref="N49">SUM((SUMPRODUCT((E3_Verbraucher!$D$21:$XFD$21&lt;B1_Berechnungen!B49)*E3_Verbraucher!$D$26:$XFD$26)+SUMPRODUCT((E3_Verbraucher!$D$21:$XFD$21=B1_Berechnungen!B49)*E3_Verbraucher!$D$26:$XFD$26*E3_Verbraucher!$D$20:$XFD$20))*(1+$G$30)^(B49-B$44),(SUMPRODUCT((E3_Verbraucher!$D$21:$XFD$21&lt;B1_Berechnungen!B49)*E3_Verbraucher!$D$27:$XFD$27)+SUMPRODUCT((E3_Verbraucher!$D$21:$XFD$21=B1_Berechnungen!B49)*E3_Verbraucher!$D$27:$XFD$27*E3_Verbraucher!$D$20:$XFD$20))*((1+$G$30)*(1-E1_Projektdaten!$D$20/100))^(B49-B$44))</f>
        <v>3484958.4017633372</v>
      </c>
      <c r="O49" s="103">
        <f t="shared" si="4"/>
        <v>594257.93187456939</v>
      </c>
      <c r="P49" s="103">
        <f t="shared" si="5"/>
        <v>558888.61129196465</v>
      </c>
      <c r="Q49" s="182">
        <f t="shared" si="6"/>
        <v>0</v>
      </c>
      <c r="R49" s="99"/>
      <c r="S49" s="102"/>
      <c r="T49" s="101">
        <f t="shared" si="7"/>
        <v>4638104.9449298717</v>
      </c>
      <c r="U49" s="97">
        <f>Energiekosten_Holzschnitzel*D49/100*((1+$G$16)^(B49-$B$44))</f>
        <v>550934.45011548803</v>
      </c>
      <c r="V49" s="103">
        <f>Energiekosten_WKK*D49/100*((1+$G$17)^(B49-$B$44))</f>
        <v>688668.06264435989</v>
      </c>
      <c r="W49" s="103">
        <f t="shared" si="8"/>
        <v>0</v>
      </c>
      <c r="X49" s="103">
        <f t="shared" si="9"/>
        <v>0</v>
      </c>
      <c r="Y49" s="98">
        <f t="shared" si="10"/>
        <v>235693.88240234775</v>
      </c>
      <c r="Z49" s="103">
        <f t="shared" si="11"/>
        <v>0</v>
      </c>
      <c r="AA49" s="98">
        <f t="shared" si="12"/>
        <v>16694.983336832964</v>
      </c>
      <c r="AB49" s="98">
        <f>($F$22*(1+$G$22)^(B49-B$44)+$F$23*(1+$G$23)^(B49-B$44))*(B49&gt;=Eing_JahrBegWLief)*VLOOKUP(B49,E1_Projektdaten!$D$83:$I$87,6)/100</f>
        <v>250981.19996387995</v>
      </c>
      <c r="AC49" s="98">
        <f>$F$24*(1+$G$24)^(B49-B$44)*(B49&gt;=Eing_JahrBegWLief)*VLOOKUP(B49,E1_Projektdaten!$D$83:$I$87,6)/100</f>
        <v>465597.4521942999</v>
      </c>
      <c r="AD49" s="98">
        <f t="shared" si="13"/>
        <v>241732.31152299998</v>
      </c>
      <c r="AE49" s="99"/>
      <c r="AF49" s="100"/>
      <c r="AG49" s="95">
        <f t="shared" si="14"/>
        <v>729807.69230769249</v>
      </c>
      <c r="AH49" s="101">
        <f t="shared" si="23"/>
        <v>3180110.0344879013</v>
      </c>
      <c r="AI49" s="97">
        <f t="shared" si="24"/>
        <v>1711538.4615384615</v>
      </c>
      <c r="AJ49" s="103">
        <f t="shared" si="25"/>
        <v>4891648.4960263632</v>
      </c>
      <c r="AK49" s="98">
        <f t="shared" si="26"/>
        <v>-253543.55109649152</v>
      </c>
      <c r="AL49" s="104">
        <f t="shared" si="27"/>
        <v>-3612977.0270653809</v>
      </c>
      <c r="AM49" s="98">
        <f>(E1_Projektdaten!$D$68*(1+Eing_allg_Teuerung/100)^(E1_Projektdaten!$I$68*ROUNDDOWN((AS49-1)/E1_Projektdaten!$I$68,0))/E1_Projektdaten!$I$68
+E1_Projektdaten!$D$69*(1+Eing_allg_Teuerung/100)^(E1_Projektdaten!$I$69*ROUNDDOWN((AS49-1)/E1_Projektdaten!$I$69,0))/E1_Projektdaten!$I$69
+E1_Projektdaten!$D$70*(1+Eing_allg_Teuerung/100)^(E1_Projektdaten!$I$70*ROUNDDOWN((AS49-1)/E1_Projektdaten!$I$69,0))/E1_Projektdaten!$I$70
+E1_Projektdaten!$D$71*(1+Eing_allg_Teuerung/100)^(E1_Projektdaten!$I$71*ROUNDDOWN((AS49-1)/E1_Projektdaten!$I$69,0))/E1_Projektdaten!$I$71
+E1_Projektdaten!$D$72*(1+Eing_allg_Teuerung/100)^(E1_Projektdaten!$I$72*ROUNDDOWN((AS49-1)/E1_Projektdaten!$I$69,0))/E1_Projektdaten!$I$72
+E1_Projektdaten!$D$74*(1+Eing_allg_Teuerung/100)^(E1_Projektdaten!$I$74*ROUNDDOWN((AS49-1)/E1_Projektdaten!$I$69,0))/E1_Projektdaten!$I$74
+E1_Projektdaten!$D$75*(1+Eing_allg_Teuerung/100)^(E1_Projektdaten!$I$75*ROUNDDOWN((AS49-1)/E1_Projektdaten!$I$75,0))/E1_Projektdaten!$I$75
+E1_Projektdaten!$D$76*(1+Eing_allg_Teuerung/100)^(E1_Projektdaten!$I$76*ROUNDDOWN((AS49-1)/E1_Projektdaten!$I$76,0))/E1_Projektdaten!$I$76
+E1_Projektdaten!$D$77*(1+Eing_allg_Teuerung/100)^(E1_Projektdaten!$I$77*ROUNDDOWN((AS49-1)/E1_Projektdaten!$I$77,0))/E1_Projektdaten!$I$77
+E1_Projektdaten!$D$78*(1+Eing_allg_Teuerung/100)^(E1_Projektdaten!$I$78*ROUNDDOWN((AS49-1)/E1_Projektdaten!$I$78,0))/E1_Projektdaten!$I$78
+E1_Projektdaten!$D$80*(1+Eing_allg_Teuerung/100)^(E1_Projektdaten!$I$80*ROUNDDOWN((AS49-1)/E1_Projektdaten!$I$69,0))/E1_Projektdaten!$I$80
)*((AS49)&gt;0)*VLOOKUP(B49,E1_Projektdaten!$D$83:$I$87,6
)/100</f>
        <v>1160858.1653520304</v>
      </c>
      <c r="AN49" s="266">
        <f t="shared" si="28"/>
        <v>4340968.1998399319</v>
      </c>
      <c r="AO49" s="266">
        <f t="shared" si="29"/>
        <v>297136.7450899398</v>
      </c>
      <c r="AP49" s="269">
        <f t="shared" si="36"/>
        <v>-2922474.600044549</v>
      </c>
      <c r="AQ49" s="198"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+(Gesamtinvestition-SUM(E1_Projektdaten!$D$79:$D$80))*SUMPRODUCT((E1_Projektdaten!$D$83:$D$87=B49)*E1_Projektdaten!$F$83:$F$87)/100-AM49
+AQ48</f>
        <v>27167425.503943905</v>
      </c>
      <c r="AR49" s="105">
        <f t="shared" si="30"/>
        <v>-23826923.07692308</v>
      </c>
      <c r="AS49" s="199">
        <f>MAX(B1_Berechnungen!B49-E1_Projektdaten!$D$23,0)</f>
        <v>3</v>
      </c>
      <c r="AT49" s="49">
        <f>AT48-B1_Berechnungen!I49</f>
        <v>0</v>
      </c>
      <c r="AU49" s="49">
        <f t="shared" si="31"/>
        <v>0</v>
      </c>
      <c r="AV49" s="49">
        <f>IF((SUM(H$44:H49)-SUM(I$44:I49))&lt;=AU49,MAX((SUM(H$44:H49)-SUM(I$44:I49)),0),AU49)</f>
        <v>0</v>
      </c>
      <c r="AW49" s="49">
        <f t="shared" si="15"/>
        <v>961538.4615384615</v>
      </c>
      <c r="AX49" s="49">
        <f t="shared" si="37"/>
        <v>23076923.07692308</v>
      </c>
      <c r="AY49" s="49">
        <f t="shared" si="32"/>
        <v>0</v>
      </c>
      <c r="AZ49" s="49">
        <f>IF((SUM(H$44:H49)-SUM(I$44:I49)-AV49)&lt;=AY49,MAX((SUM(H$44:H49)-SUM(I$44:I49)-AV49),0),AY49)</f>
        <v>0</v>
      </c>
      <c r="BA49" s="49">
        <f t="shared" si="16"/>
        <v>750000</v>
      </c>
      <c r="BB49" s="49">
        <f t="shared" si="38"/>
        <v>750000</v>
      </c>
      <c r="BC49" s="106">
        <f t="shared" si="17"/>
        <v>28256881.952847414</v>
      </c>
      <c r="BD49" s="106">
        <f t="shared" si="18"/>
        <v>1089456.4489035085</v>
      </c>
    </row>
    <row r="50" spans="2:56" ht="12.95" customHeight="1" x14ac:dyDescent="0.2">
      <c r="B50" s="94">
        <f t="shared" si="33"/>
        <v>2030</v>
      </c>
      <c r="C50" s="95" cm="1">
        <f t="array" ref="C50">(SUMPRODUCT((E3_Verbraucher!$D$21:$XFD$21&lt;B1_Berechnungen!B50)*E3_Verbraucher!$D$18:$XFD$18)+SUMPRODUCT((E3_Verbraucher!$D$21:$XFD$21=B1_Berechnungen!B50)*E3_Verbraucher!$D$18:$XFD$18*E3_Verbraucher!$D$20:$XFD$20))/(100-Eing_Netzverluste)*100*(1-Eing_AbnW/100)^(B1_Berechnungen!B50-Eing_Beginnjahr)</f>
        <v>16753.639258590792</v>
      </c>
      <c r="D50" s="96">
        <f t="shared" si="19"/>
        <v>116.84420890603826</v>
      </c>
      <c r="E50" s="98"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+Gesamtinvestition*SUMPRODUCT((E1_Projektdaten!$D$83:$D$87=B50)*E1_Projektdaten!$F$83:$F$87)/100</f>
        <v>0</v>
      </c>
      <c r="F50" s="182">
        <f t="shared" si="3"/>
        <v>0</v>
      </c>
      <c r="G50" s="182" cm="1">
        <f t="array" ref="G50">-SUMPRODUCT((E3_Verbraucher!$D$21:$XFD$21=B1_Berechnungen!B50)*E3_Verbraucher!$D$23:$XFD$23)</f>
        <v>-957000</v>
      </c>
      <c r="H50" s="98">
        <f t="shared" si="20"/>
        <v>-957000</v>
      </c>
      <c r="I50" s="182">
        <f t="shared" si="34"/>
        <v>0</v>
      </c>
      <c r="J50" s="103">
        <f t="shared" si="21"/>
        <v>0</v>
      </c>
      <c r="K50" s="103">
        <f t="shared" si="35"/>
        <v>4584200</v>
      </c>
      <c r="L50" s="98">
        <f t="shared" si="22"/>
        <v>-3581550.9655744242</v>
      </c>
      <c r="M50" s="269">
        <f>IF(ISNUMBER(IRR((BD$44:BD49,BC50))),IRR((BD$44:BD49,BC50)),"-")</f>
        <v>-3.9257014903613441E-2</v>
      </c>
      <c r="N50" s="97" cm="1">
        <f t="array" ref="N50">SUM((SUMPRODUCT((E3_Verbraucher!$D$21:$XFD$21&lt;B1_Berechnungen!B50)*E3_Verbraucher!$D$26:$XFD$26)+SUMPRODUCT((E3_Verbraucher!$D$21:$XFD$21=B1_Berechnungen!B50)*E3_Verbraucher!$D$26:$XFD$26*E3_Verbraucher!$D$20:$XFD$20))*(1+$G$30)^(B50-B$44),(SUMPRODUCT((E3_Verbraucher!$D$21:$XFD$21&lt;B1_Berechnungen!B50)*E3_Verbraucher!$D$27:$XFD$27)+SUMPRODUCT((E3_Verbraucher!$D$21:$XFD$21=B1_Berechnungen!B50)*E3_Verbraucher!$D$27:$XFD$27*E3_Verbraucher!$D$20:$XFD$20))*((1+$G$30)*(1-E1_Projektdaten!$D$20/100))^(B50-B$44))</f>
        <v>3735274.4874545652</v>
      </c>
      <c r="O50" s="103">
        <f t="shared" si="4"/>
        <v>633033.0721842862</v>
      </c>
      <c r="P50" s="103">
        <f t="shared" si="5"/>
        <v>595355.91472700378</v>
      </c>
      <c r="Q50" s="182">
        <f t="shared" si="6"/>
        <v>0</v>
      </c>
      <c r="R50" s="99"/>
      <c r="S50" s="102"/>
      <c r="T50" s="101">
        <f t="shared" si="7"/>
        <v>4963663.4743658546</v>
      </c>
      <c r="U50" s="97">
        <f>Energiekosten_Holzschnitzel*D50/100*((1+$G$16)^(B50-$B$44))</f>
        <v>586882.74707350612</v>
      </c>
      <c r="V50" s="103">
        <f>Energiekosten_WKK*D50/100*((1+$G$17)^(B50-$B$44))</f>
        <v>733603.43384188274</v>
      </c>
      <c r="W50" s="103">
        <f t="shared" si="8"/>
        <v>0</v>
      </c>
      <c r="X50" s="103">
        <f t="shared" si="9"/>
        <v>0</v>
      </c>
      <c r="Y50" s="98">
        <f t="shared" si="10"/>
        <v>251072.83297262291</v>
      </c>
      <c r="Z50" s="103">
        <f t="shared" si="11"/>
        <v>0</v>
      </c>
      <c r="AA50" s="98">
        <f t="shared" si="12"/>
        <v>17784.325668894118</v>
      </c>
      <c r="AB50" s="98">
        <f>($F$22*(1+$G$22)^(B50-B$44)+$F$23*(1+$G$23)^(B50-B$44))*(B50&gt;=Eing_JahrBegWLief)*VLOOKUP(B50,E1_Projektdaten!$D$83:$I$87,6)/100</f>
        <v>253491.01196351886</v>
      </c>
      <c r="AC50" s="98">
        <f>$F$24*(1+$G$24)^(B50-B$44)*(B50&gt;=Eing_JahrBegWLief)*VLOOKUP(B50,E1_Projektdaten!$D$83:$I$87,6)/100</f>
        <v>470253.42671624303</v>
      </c>
      <c r="AD50" s="98">
        <f t="shared" si="13"/>
        <v>244149.63463823005</v>
      </c>
      <c r="AE50" s="99"/>
      <c r="AF50" s="100"/>
      <c r="AG50" s="95">
        <f t="shared" si="14"/>
        <v>663461.5384615385</v>
      </c>
      <c r="AH50" s="101">
        <f t="shared" si="23"/>
        <v>3220698.951336436</v>
      </c>
      <c r="AI50" s="97">
        <f t="shared" si="24"/>
        <v>1711538.4615384615</v>
      </c>
      <c r="AJ50" s="103">
        <f t="shared" si="25"/>
        <v>4932237.4128748979</v>
      </c>
      <c r="AK50" s="98">
        <f t="shared" si="26"/>
        <v>31426.061490956694</v>
      </c>
      <c r="AL50" s="104">
        <f t="shared" si="27"/>
        <v>-3581550.9655744242</v>
      </c>
      <c r="AM50" s="98">
        <f>(E1_Projektdaten!$D$68*(1+Eing_allg_Teuerung/100)^(E1_Projektdaten!$I$68*ROUNDDOWN((AS50-1)/E1_Projektdaten!$I$68,0))/E1_Projektdaten!$I$68
+E1_Projektdaten!$D$69*(1+Eing_allg_Teuerung/100)^(E1_Projektdaten!$I$69*ROUNDDOWN((AS50-1)/E1_Projektdaten!$I$69,0))/E1_Projektdaten!$I$69
+E1_Projektdaten!$D$70*(1+Eing_allg_Teuerung/100)^(E1_Projektdaten!$I$70*ROUNDDOWN((AS50-1)/E1_Projektdaten!$I$69,0))/E1_Projektdaten!$I$70
+E1_Projektdaten!$D$71*(1+Eing_allg_Teuerung/100)^(E1_Projektdaten!$I$71*ROUNDDOWN((AS50-1)/E1_Projektdaten!$I$69,0))/E1_Projektdaten!$I$71
+E1_Projektdaten!$D$72*(1+Eing_allg_Teuerung/100)^(E1_Projektdaten!$I$72*ROUNDDOWN((AS50-1)/E1_Projektdaten!$I$69,0))/E1_Projektdaten!$I$72
+E1_Projektdaten!$D$74*(1+Eing_allg_Teuerung/100)^(E1_Projektdaten!$I$74*ROUNDDOWN((AS50-1)/E1_Projektdaten!$I$69,0))/E1_Projektdaten!$I$74
+E1_Projektdaten!$D$75*(1+Eing_allg_Teuerung/100)^(E1_Projektdaten!$I$75*ROUNDDOWN((AS50-1)/E1_Projektdaten!$I$75,0))/E1_Projektdaten!$I$75
+E1_Projektdaten!$D$76*(1+Eing_allg_Teuerung/100)^(E1_Projektdaten!$I$76*ROUNDDOWN((AS50-1)/E1_Projektdaten!$I$76,0))/E1_Projektdaten!$I$76
+E1_Projektdaten!$D$77*(1+Eing_allg_Teuerung/100)^(E1_Projektdaten!$I$77*ROUNDDOWN((AS50-1)/E1_Projektdaten!$I$77,0))/E1_Projektdaten!$I$77
+E1_Projektdaten!$D$78*(1+Eing_allg_Teuerung/100)^(E1_Projektdaten!$I$78*ROUNDDOWN((AS50-1)/E1_Projektdaten!$I$78,0))/E1_Projektdaten!$I$78
+E1_Projektdaten!$D$80*(1+Eing_allg_Teuerung/100)^(E1_Projektdaten!$I$80*ROUNDDOWN((AS50-1)/E1_Projektdaten!$I$69,0))/E1_Projektdaten!$I$80
)*((AS50)&gt;0)*VLOOKUP(B50,E1_Projektdaten!$D$83:$I$87,6
)/100</f>
        <v>1160858.1653520304</v>
      </c>
      <c r="AN50" s="266">
        <f t="shared" si="28"/>
        <v>4381557.1166884666</v>
      </c>
      <c r="AO50" s="266">
        <f t="shared" si="29"/>
        <v>582106.357677388</v>
      </c>
      <c r="AP50" s="269">
        <f t="shared" si="36"/>
        <v>-2340368.242367161</v>
      </c>
      <c r="AQ50" s="198"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+(Gesamtinvestition-SUM(E1_Projektdaten!$D$79:$D$80))*SUMPRODUCT((E1_Projektdaten!$D$83:$D$87=B50)*E1_Projektdaten!$F$83:$F$87)/100-AM50
+AQ49</f>
        <v>26006567.338591874</v>
      </c>
      <c r="AR50" s="105">
        <f t="shared" si="30"/>
        <v>-22115384.61538462</v>
      </c>
      <c r="AS50" s="199">
        <f>MAX(B1_Berechnungen!B50-E1_Projektdaten!$D$23,0)</f>
        <v>4</v>
      </c>
      <c r="AT50" s="49">
        <f>AT49-B1_Berechnungen!I50</f>
        <v>0</v>
      </c>
      <c r="AU50" s="49">
        <f t="shared" si="31"/>
        <v>0</v>
      </c>
      <c r="AV50" s="49">
        <f>IF((SUM(H$44:H50)-SUM(I$44:I50))&lt;=AU50,MAX((SUM(H$44:H50)-SUM(I$44:I50)),0),AU50)</f>
        <v>0</v>
      </c>
      <c r="AW50" s="49">
        <f t="shared" si="15"/>
        <v>961538.4615384615</v>
      </c>
      <c r="AX50" s="49">
        <f t="shared" si="37"/>
        <v>22115384.61538462</v>
      </c>
      <c r="AY50" s="49">
        <f t="shared" si="32"/>
        <v>0</v>
      </c>
      <c r="AZ50" s="49">
        <f>IF((SUM(H$44:H50)-SUM(I$44:I50)-AV50)&lt;=AY50,MAX((SUM(H$44:H50)-SUM(I$44:I50)-AV50),0),AY50)</f>
        <v>0</v>
      </c>
      <c r="BA50" s="49">
        <f t="shared" si="16"/>
        <v>750000</v>
      </c>
      <c r="BB50" s="49">
        <f t="shared" si="38"/>
        <v>0</v>
      </c>
      <c r="BC50" s="106">
        <f t="shared" si="17"/>
        <v>26994993.40008283</v>
      </c>
      <c r="BD50" s="106">
        <f t="shared" si="18"/>
        <v>988426.06149095669</v>
      </c>
    </row>
    <row r="51" spans="2:56" ht="12.95" customHeight="1" x14ac:dyDescent="0.2">
      <c r="B51" s="94">
        <f t="shared" si="33"/>
        <v>2031</v>
      </c>
      <c r="C51" s="95" cm="1">
        <f t="array" ref="C51">(SUMPRODUCT((E3_Verbraucher!$D$21:$XFD$21&lt;B1_Berechnungen!B51)*E3_Verbraucher!$D$18:$XFD$18)+SUMPRODUCT((E3_Verbraucher!$D$21:$XFD$21=B1_Berechnungen!B51)*E3_Verbraucher!$D$18:$XFD$18*E3_Verbraucher!$D$20:$XFD$20))/(100-Eing_Netzverluste)*100*(1-Eing_AbnW/100)^(B1_Berechnungen!B51-Eing_Beginnjahr)</f>
        <v>17474.154016927379</v>
      </c>
      <c r="D51" s="96">
        <f t="shared" si="19"/>
        <v>121.86926499346681</v>
      </c>
      <c r="E51" s="98"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+Gesamtinvestition*SUMPRODUCT((E1_Projektdaten!$D$83:$D$87=B51)*E1_Projektdaten!$F$83:$F$87)/100</f>
        <v>0</v>
      </c>
      <c r="F51" s="182">
        <f t="shared" si="3"/>
        <v>-800000</v>
      </c>
      <c r="G51" s="182" cm="1">
        <f t="array" ref="G51">-SUMPRODUCT((E3_Verbraucher!$D$21:$XFD$21=B1_Berechnungen!B51)*E3_Verbraucher!$D$23:$XFD$23)</f>
        <v>0</v>
      </c>
      <c r="H51" s="98">
        <f t="shared" si="20"/>
        <v>-800000</v>
      </c>
      <c r="I51" s="182">
        <f t="shared" si="34"/>
        <v>0</v>
      </c>
      <c r="J51" s="103">
        <f t="shared" si="21"/>
        <v>0</v>
      </c>
      <c r="K51" s="103">
        <f t="shared" si="35"/>
        <v>5384200</v>
      </c>
      <c r="L51" s="98">
        <f t="shared" si="22"/>
        <v>-2578623.766117414</v>
      </c>
      <c r="M51" s="269">
        <f>IF(ISNUMBER(IRR((BD$44:BD50,BC51))),IRR((BD$44:BD50,BC51)),"-")</f>
        <v>-2.920802443773507E-2</v>
      </c>
      <c r="N51" s="97" cm="1">
        <f t="array" ref="N51">SUM((SUMPRODUCT((E3_Verbraucher!$D$21:$XFD$21&lt;B1_Berechnungen!B51)*E3_Verbraucher!$D$26:$XFD$26)+SUMPRODUCT((E3_Verbraucher!$D$21:$XFD$21=B1_Berechnungen!B51)*E3_Verbraucher!$D$26:$XFD$26*E3_Verbraucher!$D$20:$XFD$20))*(1+$G$30)^(B51-B$44),(SUMPRODUCT((E3_Verbraucher!$D$21:$XFD$21&lt;B1_Berechnungen!B51)*E3_Verbraucher!$D$27:$XFD$27)+SUMPRODUCT((E3_Verbraucher!$D$21:$XFD$21=B1_Berechnungen!B51)*E3_Verbraucher!$D$27:$XFD$27*E3_Verbraucher!$D$20:$XFD$20))*((1+$G$30)*(1-E1_Projektdaten!$D$20/100))^(B51-B$44))</f>
        <v>3956896.5593598373</v>
      </c>
      <c r="O51" s="103">
        <f t="shared" si="4"/>
        <v>666860.16111034714</v>
      </c>
      <c r="P51" s="103">
        <f t="shared" si="5"/>
        <v>627169.66720700648</v>
      </c>
      <c r="Q51" s="182">
        <f t="shared" si="6"/>
        <v>0</v>
      </c>
      <c r="R51" s="99"/>
      <c r="S51" s="102"/>
      <c r="T51" s="101">
        <f t="shared" si="7"/>
        <v>5250926.3876771908</v>
      </c>
      <c r="U51" s="97">
        <f>Energiekosten_Holzschnitzel*D51/100*((1+$G$16)^(B51-$B$44))</f>
        <v>618243.72290044837</v>
      </c>
      <c r="V51" s="103">
        <f>Energiekosten_WKK*D51/100*((1+$G$17)^(B51-$B$44))</f>
        <v>772804.65362556023</v>
      </c>
      <c r="W51" s="103">
        <f t="shared" si="8"/>
        <v>0</v>
      </c>
      <c r="X51" s="103">
        <f t="shared" si="9"/>
        <v>0</v>
      </c>
      <c r="Y51" s="98">
        <f t="shared" si="10"/>
        <v>264489.29321944306</v>
      </c>
      <c r="Z51" s="103">
        <f t="shared" si="11"/>
        <v>0</v>
      </c>
      <c r="AA51" s="98">
        <f t="shared" si="12"/>
        <v>18734.658269710548</v>
      </c>
      <c r="AB51" s="98">
        <f>($F$22*(1+$G$22)^(B51-B$44)+$F$23*(1+$G$23)^(B51-B$44))*(B51&gt;=Eing_JahrBegWLief)*VLOOKUP(B51,E1_Projektdaten!$D$83:$I$87,6)/100</f>
        <v>256025.92208315397</v>
      </c>
      <c r="AC51" s="98">
        <f>$F$24*(1+$G$24)^(B51-B$44)*(B51&gt;=Eing_JahrBegWLief)*VLOOKUP(B51,E1_Projektdaten!$D$83:$I$87,6)/100</f>
        <v>474955.96098340536</v>
      </c>
      <c r="AD51" s="98">
        <f t="shared" si="13"/>
        <v>246591.13098461227</v>
      </c>
      <c r="AE51" s="99"/>
      <c r="AF51" s="100"/>
      <c r="AG51" s="95">
        <f t="shared" si="14"/>
        <v>634615.38461538474</v>
      </c>
      <c r="AH51" s="101">
        <f t="shared" si="23"/>
        <v>3286460.7266817186</v>
      </c>
      <c r="AI51" s="97">
        <f t="shared" si="24"/>
        <v>961538.4615384615</v>
      </c>
      <c r="AJ51" s="103">
        <f t="shared" si="25"/>
        <v>4247999.1882201806</v>
      </c>
      <c r="AK51" s="98">
        <f t="shared" si="26"/>
        <v>1002927.1994570103</v>
      </c>
      <c r="AL51" s="104">
        <f t="shared" si="27"/>
        <v>-2578623.766117414</v>
      </c>
      <c r="AM51" s="98">
        <f>(E1_Projektdaten!$D$68*(1+Eing_allg_Teuerung/100)^(E1_Projektdaten!$I$68*ROUNDDOWN((AS51-1)/E1_Projektdaten!$I$68,0))/E1_Projektdaten!$I$68
+E1_Projektdaten!$D$69*(1+Eing_allg_Teuerung/100)^(E1_Projektdaten!$I$69*ROUNDDOWN((AS51-1)/E1_Projektdaten!$I$69,0))/E1_Projektdaten!$I$69
+E1_Projektdaten!$D$70*(1+Eing_allg_Teuerung/100)^(E1_Projektdaten!$I$70*ROUNDDOWN((AS51-1)/E1_Projektdaten!$I$69,0))/E1_Projektdaten!$I$70
+E1_Projektdaten!$D$71*(1+Eing_allg_Teuerung/100)^(E1_Projektdaten!$I$71*ROUNDDOWN((AS51-1)/E1_Projektdaten!$I$69,0))/E1_Projektdaten!$I$71
+E1_Projektdaten!$D$72*(1+Eing_allg_Teuerung/100)^(E1_Projektdaten!$I$72*ROUNDDOWN((AS51-1)/E1_Projektdaten!$I$69,0))/E1_Projektdaten!$I$72
+E1_Projektdaten!$D$74*(1+Eing_allg_Teuerung/100)^(E1_Projektdaten!$I$74*ROUNDDOWN((AS51-1)/E1_Projektdaten!$I$69,0))/E1_Projektdaten!$I$74
+E1_Projektdaten!$D$75*(1+Eing_allg_Teuerung/100)^(E1_Projektdaten!$I$75*ROUNDDOWN((AS51-1)/E1_Projektdaten!$I$75,0))/E1_Projektdaten!$I$75
+E1_Projektdaten!$D$76*(1+Eing_allg_Teuerung/100)^(E1_Projektdaten!$I$76*ROUNDDOWN((AS51-1)/E1_Projektdaten!$I$76,0))/E1_Projektdaten!$I$76
+E1_Projektdaten!$D$77*(1+Eing_allg_Teuerung/100)^(E1_Projektdaten!$I$77*ROUNDDOWN((AS51-1)/E1_Projektdaten!$I$77,0))/E1_Projektdaten!$I$77
+E1_Projektdaten!$D$78*(1+Eing_allg_Teuerung/100)^(E1_Projektdaten!$I$78*ROUNDDOWN((AS51-1)/E1_Projektdaten!$I$78,0))/E1_Projektdaten!$I$78
+E1_Projektdaten!$D$80*(1+Eing_allg_Teuerung/100)^(E1_Projektdaten!$I$80*ROUNDDOWN((AS51-1)/E1_Projektdaten!$I$69,0))/E1_Projektdaten!$I$80
)*((AS51)&gt;0)*VLOOKUP(B51,E1_Projektdaten!$D$83:$I$87,6
)/100</f>
        <v>1160858.1653520304</v>
      </c>
      <c r="AN51" s="266">
        <f t="shared" si="28"/>
        <v>4447318.8920337493</v>
      </c>
      <c r="AO51" s="266">
        <f t="shared" si="29"/>
        <v>803607.49564344157</v>
      </c>
      <c r="AP51" s="269">
        <f t="shared" si="36"/>
        <v>-1536760.7467237194</v>
      </c>
      <c r="AQ51" s="198"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+(Gesamtinvestition-SUM(E1_Projektdaten!$D$79:$D$80))*SUMPRODUCT((E1_Projektdaten!$D$83:$D$87=B51)*E1_Projektdaten!$F$83:$F$87)/100-AM51
+AQ50</f>
        <v>24845709.173239842</v>
      </c>
      <c r="AR51" s="105">
        <f t="shared" si="30"/>
        <v>-21153846.15384616</v>
      </c>
      <c r="AS51" s="199">
        <f>MAX(B1_Berechnungen!B51-E1_Projektdaten!$D$23,0)</f>
        <v>5</v>
      </c>
      <c r="AT51" s="49">
        <f>AT50-B1_Berechnungen!I51</f>
        <v>0</v>
      </c>
      <c r="AU51" s="49">
        <f t="shared" si="31"/>
        <v>0</v>
      </c>
      <c r="AV51" s="49">
        <f>IF((SUM(H$44:H51)-SUM(I$44:I51))&lt;=AU51,MAX((SUM(H$44:H51)-SUM(I$44:I51)),0),AU51)</f>
        <v>0</v>
      </c>
      <c r="AW51" s="49">
        <f t="shared" si="15"/>
        <v>961538.4615384615</v>
      </c>
      <c r="AX51" s="49">
        <f t="shared" si="37"/>
        <v>21153846.15384616</v>
      </c>
      <c r="AY51" s="49">
        <f t="shared" si="32"/>
        <v>0</v>
      </c>
      <c r="AZ51" s="49">
        <f>IF((SUM(H$44:H51)-SUM(I$44:I51)-AV51)&lt;=AY51,MAX((SUM(H$44:H51)-SUM(I$44:I51)-AV51),0),AY51)</f>
        <v>0</v>
      </c>
      <c r="BA51" s="49">
        <f t="shared" si="16"/>
        <v>0</v>
      </c>
      <c r="BB51" s="49">
        <f t="shared" si="38"/>
        <v>0</v>
      </c>
      <c r="BC51" s="106">
        <f t="shared" si="17"/>
        <v>26648636.372696854</v>
      </c>
      <c r="BD51" s="106">
        <f t="shared" si="18"/>
        <v>1802927.1994570103</v>
      </c>
    </row>
    <row r="52" spans="2:56" ht="12.95" customHeight="1" x14ac:dyDescent="0.2">
      <c r="B52" s="94">
        <f t="shared" si="33"/>
        <v>2032</v>
      </c>
      <c r="C52" s="95" cm="1">
        <f t="array" ref="C52">(SUMPRODUCT((E3_Verbraucher!$D$21:$XFD$21&lt;B1_Berechnungen!B52)*E3_Verbraucher!$D$18:$XFD$18)+SUMPRODUCT((E3_Verbraucher!$D$21:$XFD$21=B1_Berechnungen!B52)*E3_Verbraucher!$D$18:$XFD$18*E3_Verbraucher!$D$20:$XFD$20))/(100-Eing_Netzverluste)*100*(1-Eing_AbnW/100)^(B1_Berechnungen!B52-Eing_Beginnjahr)</f>
        <v>17360.928789719965</v>
      </c>
      <c r="D52" s="96">
        <f t="shared" si="19"/>
        <v>121.07960300438747</v>
      </c>
      <c r="E52" s="98"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+Gesamtinvestition*SUMPRODUCT((E1_Projektdaten!$D$83:$D$87=B52)*E1_Projektdaten!$F$83:$F$87)/100</f>
        <v>0</v>
      </c>
      <c r="F52" s="182">
        <f t="shared" si="3"/>
        <v>0</v>
      </c>
      <c r="G52" s="182" cm="1">
        <f t="array" ref="G52">-SUMPRODUCT((E3_Verbraucher!$D$21:$XFD$21=B1_Berechnungen!B52)*E3_Verbraucher!$D$23:$XFD$23)</f>
        <v>-62000</v>
      </c>
      <c r="H52" s="98">
        <f t="shared" si="20"/>
        <v>-62000</v>
      </c>
      <c r="I52" s="182">
        <f t="shared" si="34"/>
        <v>0</v>
      </c>
      <c r="J52" s="103">
        <f t="shared" si="21"/>
        <v>0</v>
      </c>
      <c r="K52" s="103">
        <f t="shared" si="35"/>
        <v>5446200</v>
      </c>
      <c r="L52" s="98">
        <f t="shared" si="22"/>
        <v>-1521934.0429016319</v>
      </c>
      <c r="M52" s="269">
        <f>IF(ISNUMBER(IRR((BD$44:BD51,BC52))),IRR((BD$44:BD51,BC52)),"-")</f>
        <v>-2.5645017208253074E-2</v>
      </c>
      <c r="N52" s="97" cm="1">
        <f t="array" ref="N52">SUM((SUMPRODUCT((E3_Verbraucher!$D$21:$XFD$21&lt;B1_Berechnungen!B52)*E3_Verbraucher!$D$26:$XFD$26)+SUMPRODUCT((E3_Verbraucher!$D$21:$XFD$21=B1_Berechnungen!B52)*E3_Verbraucher!$D$26:$XFD$26*E3_Verbraucher!$D$20:$XFD$20))*(1+$G$30)^(B52-B$44),(SUMPRODUCT((E3_Verbraucher!$D$21:$XFD$21&lt;B1_Berechnungen!B52)*E3_Verbraucher!$D$27:$XFD$27)+SUMPRODUCT((E3_Verbraucher!$D$21:$XFD$21=B1_Berechnungen!B52)*E3_Verbraucher!$D$27:$XFD$27*E3_Verbraucher!$D$20:$XFD$20))*((1+$G$30)*(1-E1_Projektdaten!$D$20/100))^(B52-B$44))</f>
        <v>3992902.6335347672</v>
      </c>
      <c r="O52" s="103">
        <f t="shared" si="4"/>
        <v>669164.57735854317</v>
      </c>
      <c r="P52" s="103">
        <f t="shared" si="5"/>
        <v>629336.9281348167</v>
      </c>
      <c r="Q52" s="182">
        <f t="shared" si="6"/>
        <v>0</v>
      </c>
      <c r="R52" s="99"/>
      <c r="S52" s="102"/>
      <c r="T52" s="101">
        <f t="shared" si="7"/>
        <v>5291404.1390281273</v>
      </c>
      <c r="U52" s="97">
        <f>Energiekosten_Holzschnitzel*D52/100*((1+$G$16)^(B52-$B$44))</f>
        <v>620380.13914403517</v>
      </c>
      <c r="V52" s="103">
        <f>Energiekosten_WKK*D52/100*((1+$G$17)^(B52-$B$44))</f>
        <v>775475.17393004394</v>
      </c>
      <c r="W52" s="103">
        <f t="shared" si="8"/>
        <v>0</v>
      </c>
      <c r="X52" s="103">
        <f t="shared" si="9"/>
        <v>0</v>
      </c>
      <c r="Y52" s="98">
        <f t="shared" si="10"/>
        <v>265403.26808300964</v>
      </c>
      <c r="Z52" s="103">
        <f t="shared" si="11"/>
        <v>0</v>
      </c>
      <c r="AA52" s="98">
        <f t="shared" si="12"/>
        <v>18799.398155879848</v>
      </c>
      <c r="AB52" s="98">
        <f>($F$22*(1+$G$22)^(B52-B$44)+$F$23*(1+$G$23)^(B52-B$44))*(B52&gt;=Eing_JahrBegWLief)*VLOOKUP(B52,E1_Projektdaten!$D$83:$I$87,6)/100</f>
        <v>258586.18130398556</v>
      </c>
      <c r="AC52" s="98">
        <f>$F$24*(1+$G$24)^(B52-B$44)*(B52&gt;=Eing_JahrBegWLief)*VLOOKUP(B52,E1_Projektdaten!$D$83:$I$87,6)/100</f>
        <v>479705.52059323952</v>
      </c>
      <c r="AD52" s="98">
        <f t="shared" si="13"/>
        <v>249057.04229445846</v>
      </c>
      <c r="AE52" s="99"/>
      <c r="AF52" s="100"/>
      <c r="AG52" s="95">
        <f t="shared" si="14"/>
        <v>605769.23076923098</v>
      </c>
      <c r="AH52" s="101">
        <f t="shared" si="23"/>
        <v>3273175.9542738833</v>
      </c>
      <c r="AI52" s="97">
        <f t="shared" si="24"/>
        <v>961538.4615384615</v>
      </c>
      <c r="AJ52" s="103">
        <f t="shared" si="25"/>
        <v>4234714.4158123452</v>
      </c>
      <c r="AK52" s="98">
        <f t="shared" si="26"/>
        <v>1056689.7232157821</v>
      </c>
      <c r="AL52" s="104">
        <f t="shared" si="27"/>
        <v>-1521934.0429016319</v>
      </c>
      <c r="AM52" s="98">
        <f>(E1_Projektdaten!$D$68*(1+Eing_allg_Teuerung/100)^(E1_Projektdaten!$I$68*ROUNDDOWN((AS52-1)/E1_Projektdaten!$I$68,0))/E1_Projektdaten!$I$68
+E1_Projektdaten!$D$69*(1+Eing_allg_Teuerung/100)^(E1_Projektdaten!$I$69*ROUNDDOWN((AS52-1)/E1_Projektdaten!$I$69,0))/E1_Projektdaten!$I$69
+E1_Projektdaten!$D$70*(1+Eing_allg_Teuerung/100)^(E1_Projektdaten!$I$70*ROUNDDOWN((AS52-1)/E1_Projektdaten!$I$69,0))/E1_Projektdaten!$I$70
+E1_Projektdaten!$D$71*(1+Eing_allg_Teuerung/100)^(E1_Projektdaten!$I$71*ROUNDDOWN((AS52-1)/E1_Projektdaten!$I$69,0))/E1_Projektdaten!$I$71
+E1_Projektdaten!$D$72*(1+Eing_allg_Teuerung/100)^(E1_Projektdaten!$I$72*ROUNDDOWN((AS52-1)/E1_Projektdaten!$I$69,0))/E1_Projektdaten!$I$72
+E1_Projektdaten!$D$74*(1+Eing_allg_Teuerung/100)^(E1_Projektdaten!$I$74*ROUNDDOWN((AS52-1)/E1_Projektdaten!$I$69,0))/E1_Projektdaten!$I$74
+E1_Projektdaten!$D$75*(1+Eing_allg_Teuerung/100)^(E1_Projektdaten!$I$75*ROUNDDOWN((AS52-1)/E1_Projektdaten!$I$75,0))/E1_Projektdaten!$I$75
+E1_Projektdaten!$D$76*(1+Eing_allg_Teuerung/100)^(E1_Projektdaten!$I$76*ROUNDDOWN((AS52-1)/E1_Projektdaten!$I$76,0))/E1_Projektdaten!$I$76
+E1_Projektdaten!$D$77*(1+Eing_allg_Teuerung/100)^(E1_Projektdaten!$I$77*ROUNDDOWN((AS52-1)/E1_Projektdaten!$I$77,0))/E1_Projektdaten!$I$77
+E1_Projektdaten!$D$78*(1+Eing_allg_Teuerung/100)^(E1_Projektdaten!$I$78*ROUNDDOWN((AS52-1)/E1_Projektdaten!$I$78,0))/E1_Projektdaten!$I$78
+E1_Projektdaten!$D$80*(1+Eing_allg_Teuerung/100)^(E1_Projektdaten!$I$80*ROUNDDOWN((AS52-1)/E1_Projektdaten!$I$69,0))/E1_Projektdaten!$I$80
)*((AS52)&gt;0)*VLOOKUP(B52,E1_Projektdaten!$D$83:$I$87,6
)/100</f>
        <v>1160858.1653520304</v>
      </c>
      <c r="AN52" s="266">
        <f t="shared" si="28"/>
        <v>4434034.1196259139</v>
      </c>
      <c r="AO52" s="266">
        <f t="shared" si="29"/>
        <v>857370.01940221339</v>
      </c>
      <c r="AP52" s="269">
        <f t="shared" si="36"/>
        <v>-679390.72732150601</v>
      </c>
      <c r="AQ52" s="198"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+(Gesamtinvestition-SUM(E1_Projektdaten!$D$79:$D$80))*SUMPRODUCT((E1_Projektdaten!$D$83:$D$87=B52)*E1_Projektdaten!$F$83:$F$87)/100-AM52
+AQ51</f>
        <v>23684851.00788781</v>
      </c>
      <c r="AR52" s="105">
        <f t="shared" si="30"/>
        <v>-20192307.692307699</v>
      </c>
      <c r="AS52" s="199">
        <f>MAX(B1_Berechnungen!B52-E1_Projektdaten!$D$23,0)</f>
        <v>6</v>
      </c>
      <c r="AT52" s="49">
        <f>AT51-B1_Berechnungen!I52</f>
        <v>0</v>
      </c>
      <c r="AU52" s="49">
        <f t="shared" si="31"/>
        <v>0</v>
      </c>
      <c r="AV52" s="49">
        <f>IF((SUM(H$44:H52)-SUM(I$44:I52))&lt;=AU52,MAX((SUM(H$44:H52)-SUM(I$44:I52)),0),AU52)</f>
        <v>0</v>
      </c>
      <c r="AW52" s="49">
        <f t="shared" si="15"/>
        <v>961538.4615384615</v>
      </c>
      <c r="AX52" s="49">
        <f t="shared" si="37"/>
        <v>20192307.692307699</v>
      </c>
      <c r="AY52" s="49">
        <f t="shared" si="32"/>
        <v>0</v>
      </c>
      <c r="AZ52" s="49">
        <f>IF((SUM(H$44:H52)-SUM(I$44:I52)-AV52)&lt;=AY52,MAX((SUM(H$44:H52)-SUM(I$44:I52)-AV52),0),AY52)</f>
        <v>0</v>
      </c>
      <c r="BA52" s="49">
        <f t="shared" si="16"/>
        <v>0</v>
      </c>
      <c r="BB52" s="49">
        <f t="shared" si="38"/>
        <v>0</v>
      </c>
      <c r="BC52" s="106">
        <f t="shared" si="17"/>
        <v>24803540.731103592</v>
      </c>
      <c r="BD52" s="106">
        <f t="shared" si="18"/>
        <v>1118689.7232157821</v>
      </c>
    </row>
    <row r="53" spans="2:56" ht="12.95" customHeight="1" x14ac:dyDescent="0.2">
      <c r="B53" s="94">
        <f t="shared" si="33"/>
        <v>2033</v>
      </c>
      <c r="C53" s="95" cm="1">
        <f t="array" ref="C53">(SUMPRODUCT((E3_Verbraucher!$D$21:$XFD$21&lt;B1_Berechnungen!B53)*E3_Verbraucher!$D$18:$XFD$18)+SUMPRODUCT((E3_Verbraucher!$D$21:$XFD$21=B1_Berechnungen!B53)*E3_Verbraucher!$D$18:$XFD$18*E3_Verbraucher!$D$20:$XFD$20))/(100-Eing_Netzverluste)*100*(1-Eing_AbnW/100)^(B1_Berechnungen!B53-Eing_Beginnjahr)</f>
        <v>17248.220651655007</v>
      </c>
      <c r="D53" s="96">
        <f t="shared" si="19"/>
        <v>120.29354732859036</v>
      </c>
      <c r="E53" s="98"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+Gesamtinvestition*SUMPRODUCT((E1_Projektdaten!$D$83:$D$87=B53)*E1_Projektdaten!$F$83:$F$87)/100</f>
        <v>0</v>
      </c>
      <c r="F53" s="182">
        <f t="shared" si="3"/>
        <v>0</v>
      </c>
      <c r="G53" s="182" cm="1">
        <f t="array" ref="G53">-SUMPRODUCT((E3_Verbraucher!$D$21:$XFD$21=B1_Berechnungen!B53)*E3_Verbraucher!$D$23:$XFD$23)</f>
        <v>0</v>
      </c>
      <c r="H53" s="98">
        <f t="shared" si="20"/>
        <v>0</v>
      </c>
      <c r="I53" s="182">
        <f t="shared" si="34"/>
        <v>0</v>
      </c>
      <c r="J53" s="103">
        <f t="shared" si="21"/>
        <v>0</v>
      </c>
      <c r="K53" s="103">
        <f t="shared" si="35"/>
        <v>5446200</v>
      </c>
      <c r="L53" s="98">
        <f t="shared" si="22"/>
        <v>-411203.95685349358</v>
      </c>
      <c r="M53" s="269">
        <f>IF(ISNUMBER(IRR((BD$44:BD52,BC53))),IRR((BD$44:BD52,BC53)),"-")</f>
        <v>-2.3049905219009736E-2</v>
      </c>
      <c r="N53" s="97" cm="1">
        <f t="array" ref="N53">SUM((SUMPRODUCT((E3_Verbraucher!$D$21:$XFD$21&lt;B1_Berechnungen!B53)*E3_Verbraucher!$D$26:$XFD$26)+SUMPRODUCT((E3_Verbraucher!$D$21:$XFD$21=B1_Berechnungen!B53)*E3_Verbraucher!$D$26:$XFD$26*E3_Verbraucher!$D$20:$XFD$20))*(1+$G$30)^(B53-B$44),(SUMPRODUCT((E3_Verbraucher!$D$21:$XFD$21&lt;B1_Berechnungen!B53)*E3_Verbraucher!$D$27:$XFD$27)+SUMPRODUCT((E3_Verbraucher!$D$21:$XFD$21=B1_Berechnungen!B53)*E3_Verbraucher!$D$27:$XFD$27*E3_Verbraucher!$D$20:$XFD$20))*((1+$G$30)*(1-E1_Projektdaten!$D$20/100))^(B53-B$44))</f>
        <v>4029284.0374874379</v>
      </c>
      <c r="O53" s="103">
        <f t="shared" si="4"/>
        <v>671468.52605488815</v>
      </c>
      <c r="P53" s="103">
        <f t="shared" si="5"/>
        <v>631503.74933874456</v>
      </c>
      <c r="Q53" s="182">
        <f t="shared" si="6"/>
        <v>0</v>
      </c>
      <c r="R53" s="99"/>
      <c r="S53" s="102"/>
      <c r="T53" s="101">
        <f t="shared" si="7"/>
        <v>5332256.3128810702</v>
      </c>
      <c r="U53" s="97">
        <f>Energiekosten_Holzschnitzel*D53/100*((1+$G$16)^(B53-$B$44))</f>
        <v>622516.12192193605</v>
      </c>
      <c r="V53" s="103">
        <f>Energiekosten_WKK*D53/100*((1+$G$17)^(B53-$B$44))</f>
        <v>778145.15240242006</v>
      </c>
      <c r="W53" s="103">
        <f t="shared" si="8"/>
        <v>0</v>
      </c>
      <c r="X53" s="103">
        <f t="shared" si="9"/>
        <v>0</v>
      </c>
      <c r="Y53" s="98">
        <f t="shared" si="10"/>
        <v>266317.05750671058</v>
      </c>
      <c r="Z53" s="103">
        <f t="shared" si="11"/>
        <v>0</v>
      </c>
      <c r="AA53" s="98">
        <f t="shared" si="12"/>
        <v>18864.124906725327</v>
      </c>
      <c r="AB53" s="98">
        <f>($F$22*(1+$G$22)^(B53-B$44)+$F$23*(1+$G$23)^(B53-B$44))*(B53&gt;=Eing_JahrBegWLief)*VLOOKUP(B53,E1_Projektdaten!$D$83:$I$87,6)/100</f>
        <v>261172.04311702546</v>
      </c>
      <c r="AC53" s="98">
        <f>$F$24*(1+$G$24)^(B53-B$44)*(B53&gt;=Eing_JahrBegWLief)*VLOOKUP(B53,E1_Projektdaten!$D$83:$I$87,6)/100</f>
        <v>484502.57579917199</v>
      </c>
      <c r="AD53" s="98">
        <f t="shared" si="13"/>
        <v>251547.61271740304</v>
      </c>
      <c r="AE53" s="99"/>
      <c r="AF53" s="100"/>
      <c r="AG53" s="95">
        <f t="shared" si="14"/>
        <v>576923.07692307723</v>
      </c>
      <c r="AH53" s="101">
        <f t="shared" si="23"/>
        <v>3259987.7652944699</v>
      </c>
      <c r="AI53" s="97">
        <f t="shared" si="24"/>
        <v>961538.4615384615</v>
      </c>
      <c r="AJ53" s="103">
        <f t="shared" si="25"/>
        <v>4221526.2268329319</v>
      </c>
      <c r="AK53" s="98">
        <f t="shared" si="26"/>
        <v>1110730.0860481383</v>
      </c>
      <c r="AL53" s="104">
        <f t="shared" si="27"/>
        <v>-411203.95685349358</v>
      </c>
      <c r="AM53" s="98">
        <f>(E1_Projektdaten!$D$68*(1+Eing_allg_Teuerung/100)^(E1_Projektdaten!$I$68*ROUNDDOWN((AS53-1)/E1_Projektdaten!$I$68,0))/E1_Projektdaten!$I$68
+E1_Projektdaten!$D$69*(1+Eing_allg_Teuerung/100)^(E1_Projektdaten!$I$69*ROUNDDOWN((AS53-1)/E1_Projektdaten!$I$69,0))/E1_Projektdaten!$I$69
+E1_Projektdaten!$D$70*(1+Eing_allg_Teuerung/100)^(E1_Projektdaten!$I$70*ROUNDDOWN((AS53-1)/E1_Projektdaten!$I$69,0))/E1_Projektdaten!$I$70
+E1_Projektdaten!$D$71*(1+Eing_allg_Teuerung/100)^(E1_Projektdaten!$I$71*ROUNDDOWN((AS53-1)/E1_Projektdaten!$I$69,0))/E1_Projektdaten!$I$71
+E1_Projektdaten!$D$72*(1+Eing_allg_Teuerung/100)^(E1_Projektdaten!$I$72*ROUNDDOWN((AS53-1)/E1_Projektdaten!$I$69,0))/E1_Projektdaten!$I$72
+E1_Projektdaten!$D$74*(1+Eing_allg_Teuerung/100)^(E1_Projektdaten!$I$74*ROUNDDOWN((AS53-1)/E1_Projektdaten!$I$69,0))/E1_Projektdaten!$I$74
+E1_Projektdaten!$D$75*(1+Eing_allg_Teuerung/100)^(E1_Projektdaten!$I$75*ROUNDDOWN((AS53-1)/E1_Projektdaten!$I$75,0))/E1_Projektdaten!$I$75
+E1_Projektdaten!$D$76*(1+Eing_allg_Teuerung/100)^(E1_Projektdaten!$I$76*ROUNDDOWN((AS53-1)/E1_Projektdaten!$I$76,0))/E1_Projektdaten!$I$76
+E1_Projektdaten!$D$77*(1+Eing_allg_Teuerung/100)^(E1_Projektdaten!$I$77*ROUNDDOWN((AS53-1)/E1_Projektdaten!$I$77,0))/E1_Projektdaten!$I$77
+E1_Projektdaten!$D$78*(1+Eing_allg_Teuerung/100)^(E1_Projektdaten!$I$78*ROUNDDOWN((AS53-1)/E1_Projektdaten!$I$78,0))/E1_Projektdaten!$I$78
+E1_Projektdaten!$D$80*(1+Eing_allg_Teuerung/100)^(E1_Projektdaten!$I$80*ROUNDDOWN((AS53-1)/E1_Projektdaten!$I$69,0))/E1_Projektdaten!$I$80
)*((AS53)&gt;0)*VLOOKUP(B53,E1_Projektdaten!$D$83:$I$87,6
)/100</f>
        <v>1160858.1653520304</v>
      </c>
      <c r="AN53" s="266">
        <f t="shared" si="28"/>
        <v>4420845.9306465006</v>
      </c>
      <c r="AO53" s="266">
        <f t="shared" si="29"/>
        <v>911410.38223456964</v>
      </c>
      <c r="AP53" s="269">
        <f t="shared" si="36"/>
        <v>232019.65491306363</v>
      </c>
      <c r="AQ53" s="198"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+(Gesamtinvestition-SUM(E1_Projektdaten!$D$79:$D$80))*SUMPRODUCT((E1_Projektdaten!$D$83:$D$87=B53)*E1_Projektdaten!$F$83:$F$87)/100-AM53
+AQ52</f>
        <v>22523992.842535779</v>
      </c>
      <c r="AR53" s="105">
        <f t="shared" si="30"/>
        <v>-19230769.230769239</v>
      </c>
      <c r="AS53" s="197">
        <f>MAX(B1_Berechnungen!B53-E1_Projektdaten!$D$23,0)</f>
        <v>7</v>
      </c>
      <c r="AT53" s="49">
        <f>AT52-B1_Berechnungen!I53</f>
        <v>0</v>
      </c>
      <c r="AU53" s="49">
        <f t="shared" si="31"/>
        <v>0</v>
      </c>
      <c r="AV53" s="49">
        <f>IF((SUM(H$44:H53)-SUM(I$44:I53))&lt;=AU53,MAX((SUM(H$44:H53)-SUM(I$44:I53)),0),AU53)</f>
        <v>0</v>
      </c>
      <c r="AW53" s="49">
        <f t="shared" si="15"/>
        <v>961538.4615384615</v>
      </c>
      <c r="AX53" s="49">
        <f t="shared" si="37"/>
        <v>19230769.230769239</v>
      </c>
      <c r="AY53" s="49">
        <f t="shared" si="32"/>
        <v>0</v>
      </c>
      <c r="AZ53" s="49">
        <f>IF((SUM(H$44:H53)-SUM(I$44:I53)-AV53)&lt;=AY53,MAX((SUM(H$44:H53)-SUM(I$44:I53)-AV53),0),AY53)</f>
        <v>0</v>
      </c>
      <c r="BA53" s="49">
        <f t="shared" si="16"/>
        <v>0</v>
      </c>
      <c r="BB53" s="49">
        <f t="shared" si="38"/>
        <v>0</v>
      </c>
      <c r="BC53" s="106">
        <f t="shared" si="17"/>
        <v>23634722.928583916</v>
      </c>
      <c r="BD53" s="106">
        <f t="shared" si="18"/>
        <v>1110730.0860481383</v>
      </c>
    </row>
    <row r="54" spans="2:56" ht="12.95" customHeight="1" x14ac:dyDescent="0.2">
      <c r="B54" s="94">
        <f t="shared" si="33"/>
        <v>2034</v>
      </c>
      <c r="C54" s="95" cm="1">
        <f t="array" ref="C54">(SUMPRODUCT((E3_Verbraucher!$D$21:$XFD$21&lt;B1_Berechnungen!B54)*E3_Verbraucher!$D$18:$XFD$18)+SUMPRODUCT((E3_Verbraucher!$D$21:$XFD$21=B1_Berechnungen!B54)*E3_Verbraucher!$D$18:$XFD$18*E3_Verbraucher!$D$20:$XFD$20))/(100-Eing_Netzverluste)*100*(1-Eing_AbnW/100)^(B1_Berechnungen!B54-Eing_Beginnjahr)</f>
        <v>17075.738445138457</v>
      </c>
      <c r="D54" s="96">
        <f t="shared" si="19"/>
        <v>119.09061185530445</v>
      </c>
      <c r="E54" s="98"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+Gesamtinvestition*SUMPRODUCT((E1_Projektdaten!$D$83:$D$87=B54)*E1_Projektdaten!$F$83:$F$87)/100</f>
        <v>0</v>
      </c>
      <c r="F54" s="182">
        <f t="shared" si="3"/>
        <v>0</v>
      </c>
      <c r="G54" s="182" cm="1">
        <f t="array" ref="G54">-SUMPRODUCT((E3_Verbraucher!$D$21:$XFD$21=B1_Berechnungen!B54)*E3_Verbraucher!$D$23:$XFD$23)</f>
        <v>0</v>
      </c>
      <c r="H54" s="98">
        <f t="shared" si="20"/>
        <v>0</v>
      </c>
      <c r="I54" s="182">
        <f t="shared" si="34"/>
        <v>0</v>
      </c>
      <c r="J54" s="103">
        <f t="shared" si="21"/>
        <v>0</v>
      </c>
      <c r="K54" s="103">
        <f t="shared" si="35"/>
        <v>5446200</v>
      </c>
      <c r="L54" s="98">
        <f t="shared" si="22"/>
        <v>741583.69857726013</v>
      </c>
      <c r="M54" s="269">
        <f>IF(ISNUMBER(IRR((BD$44:BD53,BC54))),IRR((BD$44:BD53,BC54)),"-")</f>
        <v>-2.0888627803371307E-2</v>
      </c>
      <c r="N54" s="97" cm="1">
        <f t="array" ref="N54">SUM((SUMPRODUCT((E3_Verbraucher!$D$21:$XFD$21&lt;B1_Berechnungen!B54)*E3_Verbraucher!$D$26:$XFD$26)+SUMPRODUCT((E3_Verbraucher!$D$21:$XFD$21=B1_Berechnungen!B54)*E3_Verbraucher!$D$26:$XFD$26*E3_Verbraucher!$D$20:$XFD$20))*(1+$G$30)^(B54-B$44),(SUMPRODUCT((E3_Verbraucher!$D$21:$XFD$21&lt;B1_Berechnungen!B54)*E3_Verbraucher!$D$27:$XFD$27)+SUMPRODUCT((E3_Verbraucher!$D$21:$XFD$21=B1_Berechnungen!B54)*E3_Verbraucher!$D$27:$XFD$27*E3_Verbraucher!$D$20:$XFD$20))*((1+$G$30)*(1-E1_Projektdaten!$D$20/100))^(B54-B$44))</f>
        <v>4052429.3883220991</v>
      </c>
      <c r="O54" s="103">
        <f t="shared" si="4"/>
        <v>671401.37920228264</v>
      </c>
      <c r="P54" s="103">
        <f t="shared" si="5"/>
        <v>631440.59896381071</v>
      </c>
      <c r="Q54" s="182">
        <f t="shared" si="6"/>
        <v>0</v>
      </c>
      <c r="R54" s="99"/>
      <c r="S54" s="102"/>
      <c r="T54" s="101">
        <f t="shared" si="7"/>
        <v>5355271.3664881932</v>
      </c>
      <c r="U54" s="97">
        <f>Energiekosten_Holzschnitzel*D54/100*((1+$G$16)^(B54-$B$44))</f>
        <v>622453.87030974391</v>
      </c>
      <c r="V54" s="103">
        <f>Energiekosten_WKK*D54/100*((1+$G$17)^(B54-$B$44))</f>
        <v>778067.33788717969</v>
      </c>
      <c r="W54" s="103">
        <f t="shared" si="8"/>
        <v>0</v>
      </c>
      <c r="X54" s="103">
        <f t="shared" si="9"/>
        <v>0</v>
      </c>
      <c r="Y54" s="98">
        <f t="shared" si="10"/>
        <v>266290.42580095987</v>
      </c>
      <c r="Z54" s="103">
        <f t="shared" si="11"/>
        <v>0</v>
      </c>
      <c r="AA54" s="98">
        <f t="shared" si="12"/>
        <v>18862.238494234651</v>
      </c>
      <c r="AB54" s="98">
        <f>($F$22*(1+$G$22)^(B54-B$44)+$F$23*(1+$G$23)^(B54-B$44))*(B54&gt;=Eing_JahrBegWLief)*VLOOKUP(B54,E1_Projektdaten!$D$83:$I$87,6)/100</f>
        <v>263783.76354819571</v>
      </c>
      <c r="AC54" s="98">
        <f>$F$24*(1+$G$24)^(B54-B$44)*(B54&gt;=Eing_JahrBegWLief)*VLOOKUP(B54,E1_Projektdaten!$D$83:$I$87,6)/100</f>
        <v>489347.6015571637</v>
      </c>
      <c r="AD54" s="98">
        <f t="shared" si="13"/>
        <v>254063.08884457708</v>
      </c>
      <c r="AE54" s="99"/>
      <c r="AF54" s="100"/>
      <c r="AG54" s="95">
        <f t="shared" si="14"/>
        <v>548076.92307692335</v>
      </c>
      <c r="AH54" s="101">
        <f t="shared" si="23"/>
        <v>3240945.2495189779</v>
      </c>
      <c r="AI54" s="97">
        <f t="shared" si="24"/>
        <v>961538.4615384615</v>
      </c>
      <c r="AJ54" s="103">
        <f t="shared" si="25"/>
        <v>4202483.7110574394</v>
      </c>
      <c r="AK54" s="98">
        <f t="shared" si="26"/>
        <v>1152787.6554307537</v>
      </c>
      <c r="AL54" s="104">
        <f t="shared" si="27"/>
        <v>741583.69857726013</v>
      </c>
      <c r="AM54" s="98">
        <f>(E1_Projektdaten!$D$68*(1+Eing_allg_Teuerung/100)^(E1_Projektdaten!$I$68*ROUNDDOWN((AS54-1)/E1_Projektdaten!$I$68,0))/E1_Projektdaten!$I$68
+E1_Projektdaten!$D$69*(1+Eing_allg_Teuerung/100)^(E1_Projektdaten!$I$69*ROUNDDOWN((AS54-1)/E1_Projektdaten!$I$69,0))/E1_Projektdaten!$I$69
+E1_Projektdaten!$D$70*(1+Eing_allg_Teuerung/100)^(E1_Projektdaten!$I$70*ROUNDDOWN((AS54-1)/E1_Projektdaten!$I$69,0))/E1_Projektdaten!$I$70
+E1_Projektdaten!$D$71*(1+Eing_allg_Teuerung/100)^(E1_Projektdaten!$I$71*ROUNDDOWN((AS54-1)/E1_Projektdaten!$I$69,0))/E1_Projektdaten!$I$71
+E1_Projektdaten!$D$72*(1+Eing_allg_Teuerung/100)^(E1_Projektdaten!$I$72*ROUNDDOWN((AS54-1)/E1_Projektdaten!$I$69,0))/E1_Projektdaten!$I$72
+E1_Projektdaten!$D$74*(1+Eing_allg_Teuerung/100)^(E1_Projektdaten!$I$74*ROUNDDOWN((AS54-1)/E1_Projektdaten!$I$69,0))/E1_Projektdaten!$I$74
+E1_Projektdaten!$D$75*(1+Eing_allg_Teuerung/100)^(E1_Projektdaten!$I$75*ROUNDDOWN((AS54-1)/E1_Projektdaten!$I$75,0))/E1_Projektdaten!$I$75
+E1_Projektdaten!$D$76*(1+Eing_allg_Teuerung/100)^(E1_Projektdaten!$I$76*ROUNDDOWN((AS54-1)/E1_Projektdaten!$I$76,0))/E1_Projektdaten!$I$76
+E1_Projektdaten!$D$77*(1+Eing_allg_Teuerung/100)^(E1_Projektdaten!$I$77*ROUNDDOWN((AS54-1)/E1_Projektdaten!$I$77,0))/E1_Projektdaten!$I$77
+E1_Projektdaten!$D$78*(1+Eing_allg_Teuerung/100)^(E1_Projektdaten!$I$78*ROUNDDOWN((AS54-1)/E1_Projektdaten!$I$78,0))/E1_Projektdaten!$I$78
+E1_Projektdaten!$D$80*(1+Eing_allg_Teuerung/100)^(E1_Projektdaten!$I$80*ROUNDDOWN((AS54-1)/E1_Projektdaten!$I$69,0))/E1_Projektdaten!$I$80
)*((AS54)&gt;0)*VLOOKUP(B54,E1_Projektdaten!$D$83:$I$87,6
)/100</f>
        <v>1160858.1653520304</v>
      </c>
      <c r="AN54" s="266">
        <f t="shared" si="28"/>
        <v>4401803.4148710081</v>
      </c>
      <c r="AO54" s="266">
        <f t="shared" si="29"/>
        <v>953467.95161718503</v>
      </c>
      <c r="AP54" s="269">
        <f t="shared" si="36"/>
        <v>1185487.6065302487</v>
      </c>
      <c r="AQ54" s="198"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+(Gesamtinvestition-SUM(E1_Projektdaten!$D$79:$D$80))*SUMPRODUCT((E1_Projektdaten!$D$83:$D$87=B54)*E1_Projektdaten!$F$83:$F$87)/100-AM54
+AQ53</f>
        <v>21363134.677183747</v>
      </c>
      <c r="AR54" s="105">
        <f t="shared" si="30"/>
        <v>-18269230.769230779</v>
      </c>
      <c r="AS54" s="199">
        <f>MAX(B1_Berechnungen!B54-E1_Projektdaten!$D$23,0)</f>
        <v>8</v>
      </c>
      <c r="AT54" s="49">
        <f>AT53-B1_Berechnungen!I54</f>
        <v>0</v>
      </c>
      <c r="AU54" s="49">
        <f t="shared" si="31"/>
        <v>0</v>
      </c>
      <c r="AV54" s="49">
        <f>IF((SUM(H$44:H54)-SUM(I$44:I54))&lt;=AU54,MAX((SUM(H$44:H54)-SUM(I$44:I54)),0),AU54)</f>
        <v>0</v>
      </c>
      <c r="AW54" s="49">
        <f t="shared" si="15"/>
        <v>961538.4615384615</v>
      </c>
      <c r="AX54" s="49">
        <f t="shared" si="37"/>
        <v>18269230.769230779</v>
      </c>
      <c r="AY54" s="49">
        <f t="shared" si="32"/>
        <v>0</v>
      </c>
      <c r="AZ54" s="49">
        <f>IF((SUM(H$44:H54)-SUM(I$44:I54)-AV54)&lt;=AY54,MAX((SUM(H$44:H54)-SUM(I$44:I54)-AV54),0),AY54)</f>
        <v>0</v>
      </c>
      <c r="BA54" s="49">
        <f t="shared" si="16"/>
        <v>0</v>
      </c>
      <c r="BB54" s="49">
        <f t="shared" si="38"/>
        <v>0</v>
      </c>
      <c r="BC54" s="106">
        <f t="shared" si="17"/>
        <v>22515922.3326145</v>
      </c>
      <c r="BD54" s="106">
        <f t="shared" si="18"/>
        <v>1152787.6554307537</v>
      </c>
    </row>
    <row r="55" spans="2:56" ht="12.95" customHeight="1" x14ac:dyDescent="0.2">
      <c r="B55" s="94">
        <f t="shared" si="33"/>
        <v>2035</v>
      </c>
      <c r="C55" s="95" cm="1">
        <f t="array" ref="C55">(SUMPRODUCT((E3_Verbraucher!$D$21:$XFD$21&lt;B1_Berechnungen!B55)*E3_Verbraucher!$D$18:$XFD$18)+SUMPRODUCT((E3_Verbraucher!$D$21:$XFD$21=B1_Berechnungen!B55)*E3_Verbraucher!$D$18:$XFD$18*E3_Verbraucher!$D$20:$XFD$20))/(100-Eing_Netzverluste)*100*(1-Eing_AbnW/100)^(B1_Berechnungen!B55-Eing_Beginnjahr)</f>
        <v>17158.660232727045</v>
      </c>
      <c r="D55" s="96">
        <f t="shared" si="19"/>
        <v>119.66892982683981</v>
      </c>
      <c r="E55" s="98"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+Gesamtinvestition*SUMPRODUCT((E1_Projektdaten!$D$83:$D$87=B55)*E1_Projektdaten!$F$83:$F$87)/100</f>
        <v>0</v>
      </c>
      <c r="F55" s="182">
        <f t="shared" si="3"/>
        <v>0</v>
      </c>
      <c r="G55" s="182" cm="1">
        <f t="array" ref="G55">-SUMPRODUCT((E3_Verbraucher!$D$21:$XFD$21=B1_Berechnungen!B55)*E3_Verbraucher!$D$23:$XFD$23)</f>
        <v>-200000</v>
      </c>
      <c r="H55" s="98">
        <f t="shared" si="20"/>
        <v>-200000</v>
      </c>
      <c r="I55" s="182">
        <f t="shared" si="34"/>
        <v>0</v>
      </c>
      <c r="J55" s="103">
        <f t="shared" si="21"/>
        <v>0</v>
      </c>
      <c r="K55" s="103">
        <f t="shared" si="35"/>
        <v>5646200</v>
      </c>
      <c r="L55" s="98">
        <f t="shared" si="22"/>
        <v>1992270.3643423417</v>
      </c>
      <c r="M55" s="269">
        <f>IF(ISNUMBER(IRR((BD$44:BD54,BC55))),IRR((BD$44:BD54,BC55)),"-")</f>
        <v>-1.8041780021774811E-2</v>
      </c>
      <c r="N55" s="97" cm="1">
        <f t="array" ref="N55">SUM((SUMPRODUCT((E3_Verbraucher!$D$21:$XFD$21&lt;B1_Berechnungen!B55)*E3_Verbraucher!$D$26:$XFD$26)+SUMPRODUCT((E3_Verbraucher!$D$21:$XFD$21=B1_Berechnungen!B55)*E3_Verbraucher!$D$26:$XFD$26*E3_Verbraucher!$D$20:$XFD$20))*(1+$G$30)^(B55-B$44),(SUMPRODUCT((E3_Verbraucher!$D$21:$XFD$21&lt;B1_Berechnungen!B55)*E3_Verbraucher!$D$27:$XFD$27)+SUMPRODUCT((E3_Verbraucher!$D$21:$XFD$21=B1_Berechnungen!B55)*E3_Verbraucher!$D$27:$XFD$27*E3_Verbraucher!$D$20:$XFD$20))*((1+$G$30)*(1-E1_Projektdaten!$D$20/100))^(B55-B$44))</f>
        <v>4137260.1756148105</v>
      </c>
      <c r="O55" s="103">
        <f t="shared" si="4"/>
        <v>681408.40083458635</v>
      </c>
      <c r="P55" s="103">
        <f t="shared" si="5"/>
        <v>640852.01801816712</v>
      </c>
      <c r="Q55" s="182">
        <f t="shared" si="6"/>
        <v>0</v>
      </c>
      <c r="R55" s="99"/>
      <c r="S55" s="102"/>
      <c r="T55" s="101">
        <f t="shared" si="7"/>
        <v>5459520.5944675645</v>
      </c>
      <c r="U55" s="97">
        <f>Energiekosten_Holzschnitzel*D55/100*((1+$G$16)^(B55-$B$44))</f>
        <v>631731.34506367042</v>
      </c>
      <c r="V55" s="103">
        <f>Energiekosten_WKK*D55/100*((1+$G$17)^(B55-$B$44))</f>
        <v>789664.18132958794</v>
      </c>
      <c r="W55" s="103">
        <f t="shared" si="8"/>
        <v>0</v>
      </c>
      <c r="X55" s="103">
        <f t="shared" si="9"/>
        <v>0</v>
      </c>
      <c r="Y55" s="98">
        <f t="shared" si="10"/>
        <v>270259.39895771997</v>
      </c>
      <c r="Z55" s="103">
        <f t="shared" si="11"/>
        <v>0</v>
      </c>
      <c r="AA55" s="98">
        <f t="shared" si="12"/>
        <v>19143.374092838494</v>
      </c>
      <c r="AB55" s="98">
        <f>($F$22*(1+$G$22)^(B55-B$44)+$F$23*(1+$G$23)^(B55-B$44))*(B55&gt;=Eing_JahrBegWLief)*VLOOKUP(B55,E1_Projektdaten!$D$83:$I$87,6)/100</f>
        <v>266421.60118367756</v>
      </c>
      <c r="AC55" s="98">
        <f>$F$24*(1+$G$24)^(B55-B$44)*(B55&gt;=Eing_JahrBegWLief)*VLOOKUP(B55,E1_Projektdaten!$D$83:$I$87,6)/100</f>
        <v>494241.07757273526</v>
      </c>
      <c r="AD55" s="98">
        <f t="shared" si="13"/>
        <v>256603.71973302279</v>
      </c>
      <c r="AE55" s="99"/>
      <c r="AF55" s="100"/>
      <c r="AG55" s="95">
        <f t="shared" si="14"/>
        <v>519230.7692307696</v>
      </c>
      <c r="AH55" s="101">
        <f t="shared" si="23"/>
        <v>3247295.4671640219</v>
      </c>
      <c r="AI55" s="97">
        <f t="shared" si="24"/>
        <v>961538.4615384615</v>
      </c>
      <c r="AJ55" s="103">
        <f t="shared" si="25"/>
        <v>4208833.928702483</v>
      </c>
      <c r="AK55" s="98">
        <f t="shared" si="26"/>
        <v>1250686.6657650815</v>
      </c>
      <c r="AL55" s="104">
        <f t="shared" si="27"/>
        <v>1992270.3643423417</v>
      </c>
      <c r="AM55" s="98">
        <f>(E1_Projektdaten!$D$68*(1+Eing_allg_Teuerung/100)^(E1_Projektdaten!$I$68*ROUNDDOWN((AS55-1)/E1_Projektdaten!$I$68,0))/E1_Projektdaten!$I$68
+E1_Projektdaten!$D$69*(1+Eing_allg_Teuerung/100)^(E1_Projektdaten!$I$69*ROUNDDOWN((AS55-1)/E1_Projektdaten!$I$69,0))/E1_Projektdaten!$I$69
+E1_Projektdaten!$D$70*(1+Eing_allg_Teuerung/100)^(E1_Projektdaten!$I$70*ROUNDDOWN((AS55-1)/E1_Projektdaten!$I$69,0))/E1_Projektdaten!$I$70
+E1_Projektdaten!$D$71*(1+Eing_allg_Teuerung/100)^(E1_Projektdaten!$I$71*ROUNDDOWN((AS55-1)/E1_Projektdaten!$I$69,0))/E1_Projektdaten!$I$71
+E1_Projektdaten!$D$72*(1+Eing_allg_Teuerung/100)^(E1_Projektdaten!$I$72*ROUNDDOWN((AS55-1)/E1_Projektdaten!$I$69,0))/E1_Projektdaten!$I$72
+E1_Projektdaten!$D$74*(1+Eing_allg_Teuerung/100)^(E1_Projektdaten!$I$74*ROUNDDOWN((AS55-1)/E1_Projektdaten!$I$69,0))/E1_Projektdaten!$I$74
+E1_Projektdaten!$D$75*(1+Eing_allg_Teuerung/100)^(E1_Projektdaten!$I$75*ROUNDDOWN((AS55-1)/E1_Projektdaten!$I$75,0))/E1_Projektdaten!$I$75
+E1_Projektdaten!$D$76*(1+Eing_allg_Teuerung/100)^(E1_Projektdaten!$I$76*ROUNDDOWN((AS55-1)/E1_Projektdaten!$I$76,0))/E1_Projektdaten!$I$76
+E1_Projektdaten!$D$77*(1+Eing_allg_Teuerung/100)^(E1_Projektdaten!$I$77*ROUNDDOWN((AS55-1)/E1_Projektdaten!$I$77,0))/E1_Projektdaten!$I$77
+E1_Projektdaten!$D$78*(1+Eing_allg_Teuerung/100)^(E1_Projektdaten!$I$78*ROUNDDOWN((AS55-1)/E1_Projektdaten!$I$78,0))/E1_Projektdaten!$I$78
+E1_Projektdaten!$D$80*(1+Eing_allg_Teuerung/100)^(E1_Projektdaten!$I$80*ROUNDDOWN((AS55-1)/E1_Projektdaten!$I$69,0))/E1_Projektdaten!$I$80
)*((AS55)&gt;0)*VLOOKUP(B55,E1_Projektdaten!$D$83:$I$87,6
)/100</f>
        <v>1160858.1653520304</v>
      </c>
      <c r="AN55" s="266">
        <f t="shared" si="28"/>
        <v>4408153.6325160526</v>
      </c>
      <c r="AO55" s="266">
        <f t="shared" si="29"/>
        <v>1051366.9619515119</v>
      </c>
      <c r="AP55" s="269">
        <f t="shared" si="36"/>
        <v>2236854.5684817606</v>
      </c>
      <c r="AQ55" s="198"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+(Gesamtinvestition-SUM(E1_Projektdaten!$D$79:$D$80))*SUMPRODUCT((E1_Projektdaten!$D$83:$D$87=B55)*E1_Projektdaten!$F$83:$F$87)/100-AM55
+AQ54</f>
        <v>20202276.511831716</v>
      </c>
      <c r="AR55" s="105">
        <f t="shared" si="30"/>
        <v>-17307692.307692319</v>
      </c>
      <c r="AS55" s="199">
        <f>MAX(B1_Berechnungen!B55-E1_Projektdaten!$D$23,0)</f>
        <v>9</v>
      </c>
      <c r="AT55" s="49">
        <f>AT54-B1_Berechnungen!I55</f>
        <v>0</v>
      </c>
      <c r="AU55" s="49">
        <f t="shared" si="31"/>
        <v>0</v>
      </c>
      <c r="AV55" s="49">
        <f>IF((SUM(H$44:H55)-SUM(I$44:I55))&lt;=AU55,MAX((SUM(H$44:H55)-SUM(I$44:I55)),0),AU55)</f>
        <v>0</v>
      </c>
      <c r="AW55" s="49">
        <f t="shared" si="15"/>
        <v>961538.4615384615</v>
      </c>
      <c r="AX55" s="49">
        <f t="shared" si="37"/>
        <v>17307692.307692319</v>
      </c>
      <c r="AY55" s="49">
        <f t="shared" si="32"/>
        <v>0</v>
      </c>
      <c r="AZ55" s="49">
        <f>IF((SUM(H$44:H55)-SUM(I$44:I55)-AV55)&lt;=AY55,MAX((SUM(H$44:H55)-SUM(I$44:I55)-AV55),0),AY55)</f>
        <v>0</v>
      </c>
      <c r="BA55" s="49">
        <f t="shared" si="16"/>
        <v>0</v>
      </c>
      <c r="BB55" s="49">
        <f t="shared" si="38"/>
        <v>0</v>
      </c>
      <c r="BC55" s="106">
        <f t="shared" si="17"/>
        <v>21652963.177596796</v>
      </c>
      <c r="BD55" s="106">
        <f t="shared" si="18"/>
        <v>1450686.6657650815</v>
      </c>
    </row>
    <row r="56" spans="2:56" ht="12.95" customHeight="1" x14ac:dyDescent="0.2">
      <c r="B56" s="94">
        <f t="shared" si="33"/>
        <v>2036</v>
      </c>
      <c r="C56" s="95" cm="1">
        <f t="array" ref="C56">(SUMPRODUCT((E3_Verbraucher!$D$21:$XFD$21&lt;B1_Berechnungen!B56)*E3_Verbraucher!$D$18:$XFD$18)+SUMPRODUCT((E3_Verbraucher!$D$21:$XFD$21=B1_Berechnungen!B56)*E3_Verbraucher!$D$18:$XFD$18*E3_Verbraucher!$D$20:$XFD$20))/(100-Eing_Netzverluste)*100*(1-Eing_AbnW/100)^(B1_Berechnungen!B56-Eing_Beginnjahr)</f>
        <v>17238.216010719341</v>
      </c>
      <c r="D56" s="96">
        <f t="shared" si="19"/>
        <v>120.22377237775888</v>
      </c>
      <c r="E56" s="98"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+Gesamtinvestition*SUMPRODUCT((E1_Projektdaten!$D$83:$D$87=B56)*E1_Projektdaten!$F$83:$F$87)/100</f>
        <v>0</v>
      </c>
      <c r="F56" s="182">
        <f t="shared" si="3"/>
        <v>0</v>
      </c>
      <c r="G56" s="182" cm="1">
        <f t="array" ref="G56">-SUMPRODUCT((E3_Verbraucher!$D$21:$XFD$21=B1_Berechnungen!B56)*E3_Verbraucher!$D$23:$XFD$23)</f>
        <v>0</v>
      </c>
      <c r="H56" s="98">
        <f t="shared" si="20"/>
        <v>0</v>
      </c>
      <c r="I56" s="182">
        <f t="shared" si="34"/>
        <v>0</v>
      </c>
      <c r="J56" s="103">
        <f t="shared" si="21"/>
        <v>0</v>
      </c>
      <c r="K56" s="103">
        <f t="shared" si="35"/>
        <v>5646200</v>
      </c>
      <c r="L56" s="98">
        <f t="shared" si="22"/>
        <v>3341706.4774811189</v>
      </c>
      <c r="M56" s="269">
        <f>IF(ISNUMBER(IRR((BD$44:BD55,BC56))),IRR((BD$44:BD55,BC56)),"-")</f>
        <v>-1.6070442544869779E-2</v>
      </c>
      <c r="N56" s="97" cm="1">
        <f t="array" ref="N56">SUM((SUMPRODUCT((E3_Verbraucher!$D$21:$XFD$21&lt;B1_Berechnungen!B56)*E3_Verbraucher!$D$26:$XFD$26)+SUMPRODUCT((E3_Verbraucher!$D$21:$XFD$21=B1_Berechnungen!B56)*E3_Verbraucher!$D$26:$XFD$26*E3_Verbraucher!$D$20:$XFD$20))*(1+$G$30)^(B56-B$44),(SUMPRODUCT((E3_Verbraucher!$D$21:$XFD$21&lt;B1_Berechnungen!B56)*E3_Verbraucher!$D$27:$XFD$27)+SUMPRODUCT((E3_Verbraucher!$D$21:$XFD$21=B1_Berechnungen!B56)*E3_Verbraucher!$D$27:$XFD$27*E3_Verbraucher!$D$20:$XFD$20))*((1+$G$30)*(1-E1_Projektdaten!$D$20/100))^(B56-B$44))</f>
        <v>4223040.9743667152</v>
      </c>
      <c r="O56" s="103">
        <f t="shared" si="4"/>
        <v>691413.41434854944</v>
      </c>
      <c r="P56" s="103">
        <f t="shared" si="5"/>
        <v>650261.54847430659</v>
      </c>
      <c r="Q56" s="182">
        <f t="shared" si="6"/>
        <v>0</v>
      </c>
      <c r="R56" s="99"/>
      <c r="S56" s="102"/>
      <c r="T56" s="101">
        <f t="shared" si="7"/>
        <v>5564715.9371895706</v>
      </c>
      <c r="U56" s="97">
        <f>Energiekosten_Holzschnitzel*D56/100*((1+$G$16)^(B56-$B$44))</f>
        <v>641006.95809810748</v>
      </c>
      <c r="V56" s="103">
        <f>Energiekosten_WKK*D56/100*((1+$G$17)^(B56-$B$44))</f>
        <v>801258.69762263435</v>
      </c>
      <c r="W56" s="103">
        <f t="shared" si="8"/>
        <v>0</v>
      </c>
      <c r="X56" s="103">
        <f t="shared" si="9"/>
        <v>0</v>
      </c>
      <c r="Y56" s="98">
        <f t="shared" si="10"/>
        <v>274227.57565694436</v>
      </c>
      <c r="Z56" s="103">
        <f t="shared" si="11"/>
        <v>0</v>
      </c>
      <c r="AA56" s="98">
        <f t="shared" si="12"/>
        <v>19424.453275700216</v>
      </c>
      <c r="AB56" s="98">
        <f>($F$22*(1+$G$22)^(B56-B$44)+$F$23*(1+$G$23)^(B56-B$44))*(B56&gt;=Eing_JahrBegWLief)*VLOOKUP(B56,E1_Projektdaten!$D$83:$I$87,6)/100</f>
        <v>269085.81719551439</v>
      </c>
      <c r="AC56" s="98">
        <f>$F$24*(1+$G$24)^(B56-B$44)*(B56&gt;=Eing_JahrBegWLief)*VLOOKUP(B56,E1_Projektdaten!$D$83:$I$87,6)/100</f>
        <v>499183.48834846256</v>
      </c>
      <c r="AD56" s="98">
        <f t="shared" si="13"/>
        <v>259169.75693035306</v>
      </c>
      <c r="AE56" s="99"/>
      <c r="AF56" s="100"/>
      <c r="AG56" s="95">
        <f t="shared" si="14"/>
        <v>490384.61538461572</v>
      </c>
      <c r="AH56" s="101">
        <f t="shared" si="23"/>
        <v>3253741.3625123324</v>
      </c>
      <c r="AI56" s="97">
        <f t="shared" si="24"/>
        <v>961538.4615384615</v>
      </c>
      <c r="AJ56" s="103">
        <f t="shared" si="25"/>
        <v>4215279.8240507934</v>
      </c>
      <c r="AK56" s="98">
        <f t="shared" si="26"/>
        <v>1349436.1131387772</v>
      </c>
      <c r="AL56" s="104">
        <f t="shared" si="27"/>
        <v>3341706.4774811189</v>
      </c>
      <c r="AM56" s="98">
        <f>(E1_Projektdaten!$D$68*(1+Eing_allg_Teuerung/100)^(E1_Projektdaten!$I$68*ROUNDDOWN((AS56-1)/E1_Projektdaten!$I$68,0))/E1_Projektdaten!$I$68
+E1_Projektdaten!$D$69*(1+Eing_allg_Teuerung/100)^(E1_Projektdaten!$I$69*ROUNDDOWN((AS56-1)/E1_Projektdaten!$I$69,0))/E1_Projektdaten!$I$69
+E1_Projektdaten!$D$70*(1+Eing_allg_Teuerung/100)^(E1_Projektdaten!$I$70*ROUNDDOWN((AS56-1)/E1_Projektdaten!$I$69,0))/E1_Projektdaten!$I$70
+E1_Projektdaten!$D$71*(1+Eing_allg_Teuerung/100)^(E1_Projektdaten!$I$71*ROUNDDOWN((AS56-1)/E1_Projektdaten!$I$69,0))/E1_Projektdaten!$I$71
+E1_Projektdaten!$D$72*(1+Eing_allg_Teuerung/100)^(E1_Projektdaten!$I$72*ROUNDDOWN((AS56-1)/E1_Projektdaten!$I$69,0))/E1_Projektdaten!$I$72
+E1_Projektdaten!$D$74*(1+Eing_allg_Teuerung/100)^(E1_Projektdaten!$I$74*ROUNDDOWN((AS56-1)/E1_Projektdaten!$I$69,0))/E1_Projektdaten!$I$74
+E1_Projektdaten!$D$75*(1+Eing_allg_Teuerung/100)^(E1_Projektdaten!$I$75*ROUNDDOWN((AS56-1)/E1_Projektdaten!$I$75,0))/E1_Projektdaten!$I$75
+E1_Projektdaten!$D$76*(1+Eing_allg_Teuerung/100)^(E1_Projektdaten!$I$76*ROUNDDOWN((AS56-1)/E1_Projektdaten!$I$76,0))/E1_Projektdaten!$I$76
+E1_Projektdaten!$D$77*(1+Eing_allg_Teuerung/100)^(E1_Projektdaten!$I$77*ROUNDDOWN((AS56-1)/E1_Projektdaten!$I$77,0))/E1_Projektdaten!$I$77
+E1_Projektdaten!$D$78*(1+Eing_allg_Teuerung/100)^(E1_Projektdaten!$I$78*ROUNDDOWN((AS56-1)/E1_Projektdaten!$I$78,0))/E1_Projektdaten!$I$78
+E1_Projektdaten!$D$80*(1+Eing_allg_Teuerung/100)^(E1_Projektdaten!$I$80*ROUNDDOWN((AS56-1)/E1_Projektdaten!$I$69,0))/E1_Projektdaten!$I$80
)*((AS56)&gt;0)*VLOOKUP(B56,E1_Projektdaten!$D$83:$I$87,6
)/100</f>
        <v>1160858.1653520304</v>
      </c>
      <c r="AN56" s="266">
        <f t="shared" si="28"/>
        <v>4414599.527864363</v>
      </c>
      <c r="AO56" s="266">
        <f t="shared" si="29"/>
        <v>1150116.4093252076</v>
      </c>
      <c r="AP56" s="269">
        <f t="shared" si="36"/>
        <v>3386970.9778069681</v>
      </c>
      <c r="AQ56" s="198"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+(Gesamtinvestition-SUM(E1_Projektdaten!$D$79:$D$80))*SUMPRODUCT((E1_Projektdaten!$D$83:$D$87=B56)*E1_Projektdaten!$F$83:$F$87)/100-AM56
+AQ55</f>
        <v>19041418.346479684</v>
      </c>
      <c r="AR56" s="105">
        <f t="shared" si="30"/>
        <v>-16346153.846153857</v>
      </c>
      <c r="AS56" s="199">
        <f>MAX(B1_Berechnungen!B56-E1_Projektdaten!$D$23,0)</f>
        <v>10</v>
      </c>
      <c r="AT56" s="49">
        <f>AT55-B1_Berechnungen!I56</f>
        <v>0</v>
      </c>
      <c r="AU56" s="49">
        <f t="shared" si="31"/>
        <v>0</v>
      </c>
      <c r="AV56" s="49">
        <f>IF((SUM(H$44:H56)-SUM(I$44:I56))&lt;=AU56,MAX((SUM(H$44:H56)-SUM(I$44:I56)),0),AU56)</f>
        <v>0</v>
      </c>
      <c r="AW56" s="49">
        <f t="shared" si="15"/>
        <v>961538.4615384615</v>
      </c>
      <c r="AX56" s="49">
        <f t="shared" si="37"/>
        <v>16346153.846153857</v>
      </c>
      <c r="AY56" s="49">
        <f t="shared" si="32"/>
        <v>0</v>
      </c>
      <c r="AZ56" s="49">
        <f>IF((SUM(H$44:H56)-SUM(I$44:I56)-AV56)&lt;=AY56,MAX((SUM(H$44:H56)-SUM(I$44:I56)-AV56),0),AY56)</f>
        <v>0</v>
      </c>
      <c r="BA56" s="49">
        <f t="shared" si="16"/>
        <v>0</v>
      </c>
      <c r="BB56" s="49">
        <f t="shared" si="38"/>
        <v>0</v>
      </c>
      <c r="BC56" s="106">
        <f t="shared" si="17"/>
        <v>20390854.45961846</v>
      </c>
      <c r="BD56" s="106">
        <f t="shared" si="18"/>
        <v>1349436.1131387772</v>
      </c>
    </row>
    <row r="57" spans="2:56" ht="12.95" customHeight="1" x14ac:dyDescent="0.2">
      <c r="B57" s="94">
        <f t="shared" si="33"/>
        <v>2037</v>
      </c>
      <c r="C57" s="95" cm="1">
        <f t="array" ref="C57">(SUMPRODUCT((E3_Verbraucher!$D$21:$XFD$21&lt;B1_Berechnungen!B57)*E3_Verbraucher!$D$18:$XFD$18)+SUMPRODUCT((E3_Verbraucher!$D$21:$XFD$21=B1_Berechnungen!B57)*E3_Verbraucher!$D$18:$XFD$18*E3_Verbraucher!$D$20:$XFD$20))/(100-Eing_Netzverluste)*100*(1-Eing_AbnW/100)^(B1_Berechnungen!B57-Eing_Beginnjahr)</f>
        <v>17065.833850612147</v>
      </c>
      <c r="D57" s="96">
        <f t="shared" si="19"/>
        <v>119.02153465398126</v>
      </c>
      <c r="E57" s="98"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+Gesamtinvestition*SUMPRODUCT((E1_Projektdaten!$D$83:$D$87=B57)*E1_Projektdaten!$F$83:$F$87)/100</f>
        <v>0</v>
      </c>
      <c r="F57" s="182">
        <f t="shared" si="3"/>
        <v>0</v>
      </c>
      <c r="G57" s="182" cm="1">
        <f t="array" ref="G57">-SUMPRODUCT((E3_Verbraucher!$D$21:$XFD$21=B1_Berechnungen!B57)*E3_Verbraucher!$D$23:$XFD$23)</f>
        <v>0</v>
      </c>
      <c r="H57" s="98">
        <f t="shared" si="20"/>
        <v>0</v>
      </c>
      <c r="I57" s="182">
        <f t="shared" si="34"/>
        <v>0</v>
      </c>
      <c r="J57" s="103">
        <f t="shared" si="21"/>
        <v>0</v>
      </c>
      <c r="K57" s="103">
        <f t="shared" si="35"/>
        <v>5646200</v>
      </c>
      <c r="L57" s="98">
        <f t="shared" si="22"/>
        <v>4734327.3598295469</v>
      </c>
      <c r="M57" s="269">
        <f>IF(ISNUMBER(IRR((BD$44:BD56,BC57))),IRR((BD$44:BD56,BC57)),"-")</f>
        <v>-1.4285196516129806E-2</v>
      </c>
      <c r="N57" s="97" cm="1">
        <f t="array" ref="N57">SUM((SUMPRODUCT((E3_Verbraucher!$D$21:$XFD$21&lt;B1_Berechnungen!B57)*E3_Verbraucher!$D$26:$XFD$26)+SUMPRODUCT((E3_Verbraucher!$D$21:$XFD$21=B1_Berechnungen!B57)*E3_Verbraucher!$D$26:$XFD$26*E3_Verbraucher!$D$20:$XFD$20))*(1+$G$30)^(B57-B$44),(SUMPRODUCT((E3_Verbraucher!$D$21:$XFD$21&lt;B1_Berechnungen!B57)*E3_Verbraucher!$D$27:$XFD$27)+SUMPRODUCT((E3_Verbraucher!$D$21:$XFD$21=B1_Berechnungen!B57)*E3_Verbraucher!$D$27:$XFD$27*E3_Verbraucher!$D$20:$XFD$20))*((1+$G$30)*(1-E1_Projektdaten!$D$20/100))^(B57-B$44))</f>
        <v>4247614.5560827721</v>
      </c>
      <c r="O57" s="103">
        <f t="shared" si="4"/>
        <v>691344.27300711442</v>
      </c>
      <c r="P57" s="103">
        <f t="shared" si="5"/>
        <v>650196.52231945912</v>
      </c>
      <c r="Q57" s="182">
        <f t="shared" si="6"/>
        <v>0</v>
      </c>
      <c r="R57" s="99"/>
      <c r="S57" s="102"/>
      <c r="T57" s="101">
        <f t="shared" si="7"/>
        <v>5589155.3514093459</v>
      </c>
      <c r="U57" s="97">
        <f>Energiekosten_Holzschnitzel*D57/100*((1+$G$16)^(B57-$B$44))</f>
        <v>640942.85740229755</v>
      </c>
      <c r="V57" s="103">
        <f>Energiekosten_WKK*D57/100*((1+$G$17)^(B57-$B$44))</f>
        <v>801178.57175287185</v>
      </c>
      <c r="W57" s="103">
        <f t="shared" si="8"/>
        <v>0</v>
      </c>
      <c r="X57" s="103">
        <f t="shared" si="9"/>
        <v>0</v>
      </c>
      <c r="Y57" s="98">
        <f t="shared" si="10"/>
        <v>274200.15289937862</v>
      </c>
      <c r="Z57" s="103">
        <f t="shared" si="11"/>
        <v>0</v>
      </c>
      <c r="AA57" s="98">
        <f t="shared" si="12"/>
        <v>19422.510830372648</v>
      </c>
      <c r="AB57" s="98">
        <f>($F$22*(1+$G$22)^(B57-B$44)+$F$23*(1+$G$23)^(B57-B$44))*(B57&gt;=Eing_JahrBegWLief)*VLOOKUP(B57,E1_Projektdaten!$D$83:$I$87,6)/100</f>
        <v>271776.67536746955</v>
      </c>
      <c r="AC57" s="98">
        <f>$F$24*(1+$G$24)^(B57-B$44)*(B57&gt;=Eing_JahrBegWLief)*VLOOKUP(B57,E1_Projektdaten!$D$83:$I$87,6)/100</f>
        <v>504175.32323194726</v>
      </c>
      <c r="AD57" s="98">
        <f t="shared" si="13"/>
        <v>261761.45449965657</v>
      </c>
      <c r="AE57" s="99"/>
      <c r="AF57" s="100"/>
      <c r="AG57" s="95">
        <f t="shared" si="14"/>
        <v>461538.46153846191</v>
      </c>
      <c r="AH57" s="101">
        <f t="shared" si="23"/>
        <v>3234996.0075224563</v>
      </c>
      <c r="AI57" s="97">
        <f t="shared" si="24"/>
        <v>961538.4615384615</v>
      </c>
      <c r="AJ57" s="103">
        <f t="shared" si="25"/>
        <v>4196534.4690609183</v>
      </c>
      <c r="AK57" s="98">
        <f t="shared" si="26"/>
        <v>1392620.8823484275</v>
      </c>
      <c r="AL57" s="104">
        <f t="shared" si="27"/>
        <v>4734327.3598295469</v>
      </c>
      <c r="AM57" s="98">
        <f>(E1_Projektdaten!$D$68*(1+Eing_allg_Teuerung/100)^(E1_Projektdaten!$I$68*ROUNDDOWN((AS57-1)/E1_Projektdaten!$I$68,0))/E1_Projektdaten!$I$68
+E1_Projektdaten!$D$69*(1+Eing_allg_Teuerung/100)^(E1_Projektdaten!$I$69*ROUNDDOWN((AS57-1)/E1_Projektdaten!$I$69,0))/E1_Projektdaten!$I$69
+E1_Projektdaten!$D$70*(1+Eing_allg_Teuerung/100)^(E1_Projektdaten!$I$70*ROUNDDOWN((AS57-1)/E1_Projektdaten!$I$69,0))/E1_Projektdaten!$I$70
+E1_Projektdaten!$D$71*(1+Eing_allg_Teuerung/100)^(E1_Projektdaten!$I$71*ROUNDDOWN((AS57-1)/E1_Projektdaten!$I$69,0))/E1_Projektdaten!$I$71
+E1_Projektdaten!$D$72*(1+Eing_allg_Teuerung/100)^(E1_Projektdaten!$I$72*ROUNDDOWN((AS57-1)/E1_Projektdaten!$I$69,0))/E1_Projektdaten!$I$72
+E1_Projektdaten!$D$74*(1+Eing_allg_Teuerung/100)^(E1_Projektdaten!$I$74*ROUNDDOWN((AS57-1)/E1_Projektdaten!$I$69,0))/E1_Projektdaten!$I$74
+E1_Projektdaten!$D$75*(1+Eing_allg_Teuerung/100)^(E1_Projektdaten!$I$75*ROUNDDOWN((AS57-1)/E1_Projektdaten!$I$75,0))/E1_Projektdaten!$I$75
+E1_Projektdaten!$D$76*(1+Eing_allg_Teuerung/100)^(E1_Projektdaten!$I$76*ROUNDDOWN((AS57-1)/E1_Projektdaten!$I$76,0))/E1_Projektdaten!$I$76
+E1_Projektdaten!$D$77*(1+Eing_allg_Teuerung/100)^(E1_Projektdaten!$I$77*ROUNDDOWN((AS57-1)/E1_Projektdaten!$I$77,0))/E1_Projektdaten!$I$77
+E1_Projektdaten!$D$78*(1+Eing_allg_Teuerung/100)^(E1_Projektdaten!$I$78*ROUNDDOWN((AS57-1)/E1_Projektdaten!$I$78,0))/E1_Projektdaten!$I$78
+E1_Projektdaten!$D$80*(1+Eing_allg_Teuerung/100)^(E1_Projektdaten!$I$80*ROUNDDOWN((AS57-1)/E1_Projektdaten!$I$69,0))/E1_Projektdaten!$I$80
)*((AS57)&gt;0)*VLOOKUP(B57,E1_Projektdaten!$D$83:$I$87,6
)/100</f>
        <v>1160858.1653520304</v>
      </c>
      <c r="AN57" s="266">
        <f t="shared" si="28"/>
        <v>4395854.172874487</v>
      </c>
      <c r="AO57" s="266">
        <f t="shared" si="29"/>
        <v>1193301.1785348589</v>
      </c>
      <c r="AP57" s="269">
        <f t="shared" si="36"/>
        <v>4580272.1563418265</v>
      </c>
      <c r="AQ57" s="198"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+(Gesamtinvestition-SUM(E1_Projektdaten!$D$79:$D$80))*SUMPRODUCT((E1_Projektdaten!$D$83:$D$87=B57)*E1_Projektdaten!$F$83:$F$87)/100-AM57
+AQ56</f>
        <v>17880560.181127653</v>
      </c>
      <c r="AR57" s="105">
        <f t="shared" si="30"/>
        <v>-15384615.384615395</v>
      </c>
      <c r="AS57" s="199">
        <f>MAX(B1_Berechnungen!B57-E1_Projektdaten!$D$23,0)</f>
        <v>11</v>
      </c>
      <c r="AT57" s="49">
        <f>AT56-B1_Berechnungen!I57</f>
        <v>0</v>
      </c>
      <c r="AU57" s="49">
        <f t="shared" si="31"/>
        <v>0</v>
      </c>
      <c r="AV57" s="49">
        <f>IF((SUM(H$44:H57)-SUM(I$44:I57))&lt;=AU57,MAX((SUM(H$44:H57)-SUM(I$44:I57)),0),AU57)</f>
        <v>0</v>
      </c>
      <c r="AW57" s="49">
        <f t="shared" si="15"/>
        <v>961538.4615384615</v>
      </c>
      <c r="AX57" s="49">
        <f t="shared" si="37"/>
        <v>15384615.384615395</v>
      </c>
      <c r="AY57" s="49">
        <f t="shared" si="32"/>
        <v>0</v>
      </c>
      <c r="AZ57" s="49">
        <f>IF((SUM(H$44:H57)-SUM(I$44:I57)-AV57)&lt;=AY57,MAX((SUM(H$44:H57)-SUM(I$44:I57)-AV57),0),AY57)</f>
        <v>0</v>
      </c>
      <c r="BA57" s="49">
        <f t="shared" si="16"/>
        <v>0</v>
      </c>
      <c r="BB57" s="49">
        <f t="shared" si="38"/>
        <v>0</v>
      </c>
      <c r="BC57" s="106">
        <f t="shared" si="17"/>
        <v>19273181.063476078</v>
      </c>
      <c r="BD57" s="106">
        <f t="shared" si="18"/>
        <v>1392620.8823484275</v>
      </c>
    </row>
    <row r="58" spans="2:56" ht="12.95" customHeight="1" x14ac:dyDescent="0.2">
      <c r="B58" s="94">
        <f t="shared" si="33"/>
        <v>2038</v>
      </c>
      <c r="C58" s="95" cm="1">
        <f t="array" ref="C58">(SUMPRODUCT((E3_Verbraucher!$D$21:$XFD$21&lt;B1_Berechnungen!B58)*E3_Verbraucher!$D$18:$XFD$18)+SUMPRODUCT((E3_Verbraucher!$D$21:$XFD$21=B1_Berechnungen!B58)*E3_Verbraucher!$D$18:$XFD$18*E3_Verbraucher!$D$20:$XFD$20))/(100-Eing_Netzverluste)*100*(1-Eing_AbnW/100)^(B1_Berechnungen!B58-Eing_Beginnjahr)</f>
        <v>16895.175512106027</v>
      </c>
      <c r="D58" s="96">
        <f t="shared" si="19"/>
        <v>117.83131930744146</v>
      </c>
      <c r="E58" s="98"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+Gesamtinvestition*SUMPRODUCT((E1_Projektdaten!$D$83:$D$87=B58)*E1_Projektdaten!$F$83:$F$87)/100</f>
        <v>0</v>
      </c>
      <c r="F58" s="182">
        <f t="shared" si="3"/>
        <v>0</v>
      </c>
      <c r="G58" s="182" cm="1">
        <f t="array" ref="G58">-SUMPRODUCT((E3_Verbraucher!$D$21:$XFD$21=B1_Berechnungen!B58)*E3_Verbraucher!$D$23:$XFD$23)</f>
        <v>0</v>
      </c>
      <c r="H58" s="98">
        <f t="shared" si="20"/>
        <v>0</v>
      </c>
      <c r="I58" s="182">
        <f t="shared" si="34"/>
        <v>0</v>
      </c>
      <c r="J58" s="103">
        <f t="shared" si="21"/>
        <v>0</v>
      </c>
      <c r="K58" s="103">
        <f t="shared" si="35"/>
        <v>5646200</v>
      </c>
      <c r="L58" s="98">
        <f t="shared" si="22"/>
        <v>6170277.7650389131</v>
      </c>
      <c r="M58" s="269">
        <f>IF(ISNUMBER(IRR((BD$44:BD57,BC58))),IRR((BD$44:BD57,BC58)),"-")</f>
        <v>-1.2634873356093035E-2</v>
      </c>
      <c r="N58" s="97" cm="1">
        <f t="array" ref="N58">SUM((SUMPRODUCT((E3_Verbraucher!$D$21:$XFD$21&lt;B1_Berechnungen!B58)*E3_Verbraucher!$D$26:$XFD$26)+SUMPRODUCT((E3_Verbraucher!$D$21:$XFD$21=B1_Berechnungen!B58)*E3_Verbraucher!$D$26:$XFD$26*E3_Verbraucher!$D$20:$XFD$20))*(1+$G$30)^(B58-B$44),(SUMPRODUCT((E3_Verbraucher!$D$21:$XFD$21&lt;B1_Berechnungen!B58)*E3_Verbraucher!$D$27:$XFD$27)+SUMPRODUCT((E3_Verbraucher!$D$21:$XFD$21=B1_Berechnungen!B58)*E3_Verbraucher!$D$27:$XFD$27*E3_Verbraucher!$D$20:$XFD$20))*((1+$G$30)*(1-E1_Projektdaten!$D$20/100))^(B58-B$44))</f>
        <v>4272435.6392987911</v>
      </c>
      <c r="O58" s="103">
        <f t="shared" si="4"/>
        <v>691275.13857981388</v>
      </c>
      <c r="P58" s="103">
        <f t="shared" si="5"/>
        <v>650131.50266722741</v>
      </c>
      <c r="Q58" s="182">
        <f t="shared" si="6"/>
        <v>0</v>
      </c>
      <c r="R58" s="99"/>
      <c r="S58" s="102"/>
      <c r="T58" s="101">
        <f t="shared" si="7"/>
        <v>5613842.2805458326</v>
      </c>
      <c r="U58" s="97">
        <f>Energiekosten_Holzschnitzel*D58/100*((1+$G$16)^(B58-$B$44))</f>
        <v>640878.7631165575</v>
      </c>
      <c r="V58" s="103">
        <f>Energiekosten_WKK*D58/100*((1+$G$17)^(B58-$B$44))</f>
        <v>801098.45389569679</v>
      </c>
      <c r="W58" s="103">
        <f t="shared" si="8"/>
        <v>0</v>
      </c>
      <c r="X58" s="103">
        <f t="shared" si="9"/>
        <v>0</v>
      </c>
      <c r="Y58" s="98">
        <f t="shared" si="10"/>
        <v>274172.73288408876</v>
      </c>
      <c r="Z58" s="103">
        <f t="shared" si="11"/>
        <v>0</v>
      </c>
      <c r="AA58" s="98">
        <f t="shared" si="12"/>
        <v>19420.568579289615</v>
      </c>
      <c r="AB58" s="98">
        <f>($F$22*(1+$G$22)^(B58-B$44)+$F$23*(1+$G$23)^(B58-B$44))*(B58&gt;=Eing_JahrBegWLief)*VLOOKUP(B58,E1_Projektdaten!$D$83:$I$87,6)/100</f>
        <v>274494.44212114427</v>
      </c>
      <c r="AC58" s="98">
        <f>$F$24*(1+$G$24)^(B58-B$44)*(B58&gt;=Eing_JahrBegWLief)*VLOOKUP(B58,E1_Projektdaten!$D$83:$I$87,6)/100</f>
        <v>509217.07646426675</v>
      </c>
      <c r="AD58" s="98">
        <f t="shared" si="13"/>
        <v>264379.06904465321</v>
      </c>
      <c r="AE58" s="99"/>
      <c r="AF58" s="100"/>
      <c r="AG58" s="95">
        <f t="shared" si="14"/>
        <v>432692.30769230798</v>
      </c>
      <c r="AH58" s="101">
        <f t="shared" si="23"/>
        <v>3216353.4137980053</v>
      </c>
      <c r="AI58" s="97">
        <f t="shared" si="24"/>
        <v>961538.4615384615</v>
      </c>
      <c r="AJ58" s="103">
        <f t="shared" si="25"/>
        <v>4177891.8753364668</v>
      </c>
      <c r="AK58" s="98">
        <f t="shared" si="26"/>
        <v>1435950.4052093658</v>
      </c>
      <c r="AL58" s="104">
        <f t="shared" si="27"/>
        <v>6170277.7650389131</v>
      </c>
      <c r="AM58" s="98">
        <f>(E1_Projektdaten!$D$68*(1+Eing_allg_Teuerung/100)^(E1_Projektdaten!$I$68*ROUNDDOWN((AS58-1)/E1_Projektdaten!$I$68,0))/E1_Projektdaten!$I$68
+E1_Projektdaten!$D$69*(1+Eing_allg_Teuerung/100)^(E1_Projektdaten!$I$69*ROUNDDOWN((AS58-1)/E1_Projektdaten!$I$69,0))/E1_Projektdaten!$I$69
+E1_Projektdaten!$D$70*(1+Eing_allg_Teuerung/100)^(E1_Projektdaten!$I$70*ROUNDDOWN((AS58-1)/E1_Projektdaten!$I$69,0))/E1_Projektdaten!$I$70
+E1_Projektdaten!$D$71*(1+Eing_allg_Teuerung/100)^(E1_Projektdaten!$I$71*ROUNDDOWN((AS58-1)/E1_Projektdaten!$I$69,0))/E1_Projektdaten!$I$71
+E1_Projektdaten!$D$72*(1+Eing_allg_Teuerung/100)^(E1_Projektdaten!$I$72*ROUNDDOWN((AS58-1)/E1_Projektdaten!$I$69,0))/E1_Projektdaten!$I$72
+E1_Projektdaten!$D$74*(1+Eing_allg_Teuerung/100)^(E1_Projektdaten!$I$74*ROUNDDOWN((AS58-1)/E1_Projektdaten!$I$69,0))/E1_Projektdaten!$I$74
+E1_Projektdaten!$D$75*(1+Eing_allg_Teuerung/100)^(E1_Projektdaten!$I$75*ROUNDDOWN((AS58-1)/E1_Projektdaten!$I$75,0))/E1_Projektdaten!$I$75
+E1_Projektdaten!$D$76*(1+Eing_allg_Teuerung/100)^(E1_Projektdaten!$I$76*ROUNDDOWN((AS58-1)/E1_Projektdaten!$I$76,0))/E1_Projektdaten!$I$76
+E1_Projektdaten!$D$77*(1+Eing_allg_Teuerung/100)^(E1_Projektdaten!$I$77*ROUNDDOWN((AS58-1)/E1_Projektdaten!$I$77,0))/E1_Projektdaten!$I$77
+E1_Projektdaten!$D$78*(1+Eing_allg_Teuerung/100)^(E1_Projektdaten!$I$78*ROUNDDOWN((AS58-1)/E1_Projektdaten!$I$78,0))/E1_Projektdaten!$I$78
+E1_Projektdaten!$D$80*(1+Eing_allg_Teuerung/100)^(E1_Projektdaten!$I$80*ROUNDDOWN((AS58-1)/E1_Projektdaten!$I$69,0))/E1_Projektdaten!$I$80
)*((AS58)&gt;0)*VLOOKUP(B58,E1_Projektdaten!$D$83:$I$87,6
)/100</f>
        <v>1160858.1653520304</v>
      </c>
      <c r="AN58" s="266">
        <f t="shared" si="28"/>
        <v>4377211.579150036</v>
      </c>
      <c r="AO58" s="266">
        <f t="shared" si="29"/>
        <v>1236630.7013957966</v>
      </c>
      <c r="AP58" s="269">
        <f t="shared" si="36"/>
        <v>5816902.8577376232</v>
      </c>
      <c r="AQ58" s="198"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+(Gesamtinvestition-SUM(E1_Projektdaten!$D$79:$D$80))*SUMPRODUCT((E1_Projektdaten!$D$83:$D$87=B58)*E1_Projektdaten!$F$83:$F$87)/100-AM58
+AQ57</f>
        <v>16719702.015775623</v>
      </c>
      <c r="AR58" s="105">
        <f t="shared" si="30"/>
        <v>-14423076.923076933</v>
      </c>
      <c r="AS58" s="199">
        <f>MAX(B1_Berechnungen!B58-E1_Projektdaten!$D$23,0)</f>
        <v>12</v>
      </c>
      <c r="AT58" s="49">
        <f>AT57-B1_Berechnungen!I58</f>
        <v>0</v>
      </c>
      <c r="AU58" s="49">
        <f t="shared" si="31"/>
        <v>0</v>
      </c>
      <c r="AV58" s="49">
        <f>IF((SUM(H$44:H58)-SUM(I$44:I58))&lt;=AU58,MAX((SUM(H$44:H58)-SUM(I$44:I58)),0),AU58)</f>
        <v>0</v>
      </c>
      <c r="AW58" s="49">
        <f t="shared" si="15"/>
        <v>961538.4615384615</v>
      </c>
      <c r="AX58" s="49">
        <f t="shared" si="37"/>
        <v>14423076.923076933</v>
      </c>
      <c r="AY58" s="49">
        <f t="shared" si="32"/>
        <v>0</v>
      </c>
      <c r="AZ58" s="49">
        <f>IF((SUM(H$44:H58)-SUM(I$44:I58)-AV58)&lt;=AY58,MAX((SUM(H$44:H58)-SUM(I$44:I58)-AV58),0),AY58)</f>
        <v>0</v>
      </c>
      <c r="BA58" s="49">
        <f t="shared" si="16"/>
        <v>0</v>
      </c>
      <c r="BB58" s="49">
        <f t="shared" si="38"/>
        <v>0</v>
      </c>
      <c r="BC58" s="106">
        <f t="shared" si="17"/>
        <v>18155652.420984987</v>
      </c>
      <c r="BD58" s="106">
        <f t="shared" si="18"/>
        <v>1435950.4052093658</v>
      </c>
    </row>
    <row r="59" spans="2:56" ht="12.95" customHeight="1" x14ac:dyDescent="0.2">
      <c r="B59" s="94">
        <f t="shared" si="33"/>
        <v>2039</v>
      </c>
      <c r="C59" s="95" cm="1">
        <f t="array" ref="C59">(SUMPRODUCT((E3_Verbraucher!$D$21:$XFD$21&lt;B1_Berechnungen!B59)*E3_Verbraucher!$D$18:$XFD$18)+SUMPRODUCT((E3_Verbraucher!$D$21:$XFD$21=B1_Berechnungen!B59)*E3_Verbraucher!$D$18:$XFD$18*E3_Verbraucher!$D$20:$XFD$20))/(100-Eing_Netzverluste)*100*(1-Eing_AbnW/100)^(B1_Berechnungen!B59-Eing_Beginnjahr)</f>
        <v>16726.223756984968</v>
      </c>
      <c r="D59" s="96">
        <f t="shared" si="19"/>
        <v>116.65300611436706</v>
      </c>
      <c r="E59" s="98"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+Gesamtinvestition*SUMPRODUCT((E1_Projektdaten!$D$83:$D$87=B59)*E1_Projektdaten!$F$83:$F$87)/100</f>
        <v>0</v>
      </c>
      <c r="F59" s="182">
        <f t="shared" si="3"/>
        <v>0</v>
      </c>
      <c r="G59" s="182" cm="1">
        <f t="array" ref="G59">-SUMPRODUCT((E3_Verbraucher!$D$21:$XFD$21=B1_Berechnungen!B59)*E3_Verbraucher!$D$23:$XFD$23)</f>
        <v>0</v>
      </c>
      <c r="H59" s="98">
        <f t="shared" si="20"/>
        <v>0</v>
      </c>
      <c r="I59" s="182">
        <f t="shared" si="34"/>
        <v>0</v>
      </c>
      <c r="J59" s="103">
        <f t="shared" si="21"/>
        <v>0</v>
      </c>
      <c r="K59" s="103">
        <f t="shared" si="35"/>
        <v>5646200</v>
      </c>
      <c r="L59" s="98">
        <f t="shared" si="22"/>
        <v>7649703.8941602688</v>
      </c>
      <c r="M59" s="269">
        <f>IF(ISNUMBER(IRR((BD$44:BD58,BC59))),IRR((BD$44:BD58,BC59)),"-")</f>
        <v>-1.1082888131574209E-2</v>
      </c>
      <c r="N59" s="97" cm="1">
        <f t="array" ref="N59">SUM((SUMPRODUCT((E3_Verbraucher!$D$21:$XFD$21&lt;B1_Berechnungen!B59)*E3_Verbraucher!$D$26:$XFD$26)+SUMPRODUCT((E3_Verbraucher!$D$21:$XFD$21=B1_Berechnungen!B59)*E3_Verbraucher!$D$26:$XFD$26*E3_Verbraucher!$D$20:$XFD$20))*(1+$G$30)^(B59-B$44),(SUMPRODUCT((E3_Verbraucher!$D$21:$XFD$21&lt;B1_Berechnungen!B59)*E3_Verbraucher!$D$27:$XFD$27)+SUMPRODUCT((E3_Verbraucher!$D$21:$XFD$21=B1_Berechnungen!B59)*E3_Verbraucher!$D$27:$XFD$27*E3_Verbraucher!$D$20:$XFD$20))*((1+$G$30)*(1-E1_Projektdaten!$D$20/100))^(B59-B$44))</f>
        <v>4297506.698853204</v>
      </c>
      <c r="O59" s="103">
        <f t="shared" si="4"/>
        <v>691206.01106595574</v>
      </c>
      <c r="P59" s="103">
        <f t="shared" si="5"/>
        <v>650066.48951696046</v>
      </c>
      <c r="Q59" s="182">
        <f t="shared" si="6"/>
        <v>0</v>
      </c>
      <c r="R59" s="99"/>
      <c r="S59" s="102"/>
      <c r="T59" s="101">
        <f t="shared" si="7"/>
        <v>5638779.1994361207</v>
      </c>
      <c r="U59" s="97">
        <f>Energiekosten_Holzschnitzel*D59/100*((1+$G$16)^(B59-$B$44))</f>
        <v>640814.67524024576</v>
      </c>
      <c r="V59" s="103">
        <f>Energiekosten_WKK*D59/100*((1+$G$17)^(B59-$B$44))</f>
        <v>801018.34405030718</v>
      </c>
      <c r="W59" s="103">
        <f t="shared" si="8"/>
        <v>0</v>
      </c>
      <c r="X59" s="103">
        <f t="shared" si="9"/>
        <v>0</v>
      </c>
      <c r="Y59" s="98">
        <f t="shared" si="10"/>
        <v>274145.31561080029</v>
      </c>
      <c r="Z59" s="103">
        <f t="shared" si="11"/>
        <v>0</v>
      </c>
      <c r="AA59" s="98">
        <f t="shared" si="12"/>
        <v>19418.626522431681</v>
      </c>
      <c r="AB59" s="98">
        <f>($F$22*(1+$G$22)^(B59-B$44)+$F$23*(1+$G$23)^(B59-B$44))*(B59&gt;=Eing_JahrBegWLief)*VLOOKUP(B59,E1_Projektdaten!$D$83:$I$87,6)/100</f>
        <v>277239.38654235564</v>
      </c>
      <c r="AC59" s="98">
        <f>$F$24*(1+$G$24)^(B59-B$44)*(B59&gt;=Eing_JahrBegWLief)*VLOOKUP(B59,E1_Projektdaten!$D$83:$I$87,6)/100</f>
        <v>514309.24722890928</v>
      </c>
      <c r="AD59" s="98">
        <f t="shared" si="13"/>
        <v>267022.85973509966</v>
      </c>
      <c r="AE59" s="99"/>
      <c r="AF59" s="100"/>
      <c r="AG59" s="95">
        <f t="shared" si="14"/>
        <v>403846.15384615416</v>
      </c>
      <c r="AH59" s="101">
        <f t="shared" si="23"/>
        <v>3197814.6087763035</v>
      </c>
      <c r="AI59" s="97">
        <f t="shared" si="24"/>
        <v>961538.4615384615</v>
      </c>
      <c r="AJ59" s="103">
        <f t="shared" si="25"/>
        <v>4159353.070314765</v>
      </c>
      <c r="AK59" s="98">
        <f t="shared" si="26"/>
        <v>1479426.1291213557</v>
      </c>
      <c r="AL59" s="104">
        <f t="shared" si="27"/>
        <v>7649703.8941602688</v>
      </c>
      <c r="AM59" s="98">
        <f>(E1_Projektdaten!$D$68*(1+Eing_allg_Teuerung/100)^(E1_Projektdaten!$I$68*ROUNDDOWN((AS59-1)/E1_Projektdaten!$I$68,0))/E1_Projektdaten!$I$68
+E1_Projektdaten!$D$69*(1+Eing_allg_Teuerung/100)^(E1_Projektdaten!$I$69*ROUNDDOWN((AS59-1)/E1_Projektdaten!$I$69,0))/E1_Projektdaten!$I$69
+E1_Projektdaten!$D$70*(1+Eing_allg_Teuerung/100)^(E1_Projektdaten!$I$70*ROUNDDOWN((AS59-1)/E1_Projektdaten!$I$69,0))/E1_Projektdaten!$I$70
+E1_Projektdaten!$D$71*(1+Eing_allg_Teuerung/100)^(E1_Projektdaten!$I$71*ROUNDDOWN((AS59-1)/E1_Projektdaten!$I$69,0))/E1_Projektdaten!$I$71
+E1_Projektdaten!$D$72*(1+Eing_allg_Teuerung/100)^(E1_Projektdaten!$I$72*ROUNDDOWN((AS59-1)/E1_Projektdaten!$I$69,0))/E1_Projektdaten!$I$72
+E1_Projektdaten!$D$74*(1+Eing_allg_Teuerung/100)^(E1_Projektdaten!$I$74*ROUNDDOWN((AS59-1)/E1_Projektdaten!$I$69,0))/E1_Projektdaten!$I$74
+E1_Projektdaten!$D$75*(1+Eing_allg_Teuerung/100)^(E1_Projektdaten!$I$75*ROUNDDOWN((AS59-1)/E1_Projektdaten!$I$75,0))/E1_Projektdaten!$I$75
+E1_Projektdaten!$D$76*(1+Eing_allg_Teuerung/100)^(E1_Projektdaten!$I$76*ROUNDDOWN((AS59-1)/E1_Projektdaten!$I$76,0))/E1_Projektdaten!$I$76
+E1_Projektdaten!$D$77*(1+Eing_allg_Teuerung/100)^(E1_Projektdaten!$I$77*ROUNDDOWN((AS59-1)/E1_Projektdaten!$I$77,0))/E1_Projektdaten!$I$77
+E1_Projektdaten!$D$78*(1+Eing_allg_Teuerung/100)^(E1_Projektdaten!$I$78*ROUNDDOWN((AS59-1)/E1_Projektdaten!$I$78,0))/E1_Projektdaten!$I$78
+E1_Projektdaten!$D$80*(1+Eing_allg_Teuerung/100)^(E1_Projektdaten!$I$80*ROUNDDOWN((AS59-1)/E1_Projektdaten!$I$69,0))/E1_Projektdaten!$I$80
)*((AS59)&gt;0)*VLOOKUP(B59,E1_Projektdaten!$D$83:$I$87,6
)/100</f>
        <v>1160858.1653520304</v>
      </c>
      <c r="AN59" s="266">
        <f t="shared" si="28"/>
        <v>4358672.7741283337</v>
      </c>
      <c r="AO59" s="266">
        <f t="shared" si="29"/>
        <v>1280106.425307787</v>
      </c>
      <c r="AP59" s="269">
        <f t="shared" si="36"/>
        <v>7097009.2830454102</v>
      </c>
      <c r="AQ59" s="198"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+(Gesamtinvestition-SUM(E1_Projektdaten!$D$79:$D$80))*SUMPRODUCT((E1_Projektdaten!$D$83:$D$87=B59)*E1_Projektdaten!$F$83:$F$87)/100-AM59
+AQ58</f>
        <v>15558843.850423593</v>
      </c>
      <c r="AR59" s="105">
        <f t="shared" si="30"/>
        <v>-13461538.461538471</v>
      </c>
      <c r="AS59" s="199">
        <f>MAX(B1_Berechnungen!B59-E1_Projektdaten!$D$23,0)</f>
        <v>13</v>
      </c>
      <c r="AT59" s="49">
        <f>AT58-B1_Berechnungen!I59</f>
        <v>0</v>
      </c>
      <c r="AU59" s="49">
        <f t="shared" si="31"/>
        <v>0</v>
      </c>
      <c r="AV59" s="49">
        <f>IF((SUM(H$44:H59)-SUM(I$44:I59))&lt;=AU59,MAX((SUM(H$44:H59)-SUM(I$44:I59)),0),AU59)</f>
        <v>0</v>
      </c>
      <c r="AW59" s="49">
        <f t="shared" si="15"/>
        <v>961538.4615384615</v>
      </c>
      <c r="AX59" s="49">
        <f t="shared" si="37"/>
        <v>13461538.461538471</v>
      </c>
      <c r="AY59" s="49">
        <f t="shared" si="32"/>
        <v>0</v>
      </c>
      <c r="AZ59" s="49">
        <f>IF((SUM(H$44:H59)-SUM(I$44:I59)-AV59)&lt;=AY59,MAX((SUM(H$44:H59)-SUM(I$44:I59)-AV59),0),AY59)</f>
        <v>0</v>
      </c>
      <c r="BA59" s="49">
        <f t="shared" si="16"/>
        <v>0</v>
      </c>
      <c r="BB59" s="49">
        <f t="shared" si="38"/>
        <v>0</v>
      </c>
      <c r="BC59" s="106">
        <f t="shared" si="17"/>
        <v>17038269.979544949</v>
      </c>
      <c r="BD59" s="106">
        <f t="shared" si="18"/>
        <v>1479426.1291213557</v>
      </c>
    </row>
    <row r="60" spans="2:56" ht="12.95" customHeight="1" x14ac:dyDescent="0.2">
      <c r="B60" s="94">
        <f t="shared" si="33"/>
        <v>2040</v>
      </c>
      <c r="C60" s="95" cm="1">
        <f t="array" ref="C60">(SUMPRODUCT((E3_Verbraucher!$D$21:$XFD$21&lt;B1_Berechnungen!B60)*E3_Verbraucher!$D$18:$XFD$18)+SUMPRODUCT((E3_Verbraucher!$D$21:$XFD$21=B1_Berechnungen!B60)*E3_Verbraucher!$D$18:$XFD$18*E3_Verbraucher!$D$20:$XFD$20))/(100-Eing_Netzverluste)*100*(1-Eing_AbnW/100)^(B1_Berechnungen!B60-Eing_Beginnjahr)</f>
        <v>16558.961519415116</v>
      </c>
      <c r="D60" s="96">
        <f t="shared" si="19"/>
        <v>115.48647605322337</v>
      </c>
      <c r="E60" s="98"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+Gesamtinvestition*SUMPRODUCT((E1_Projektdaten!$D$83:$D$87=B60)*E1_Projektdaten!$F$83:$F$87)/100</f>
        <v>0</v>
      </c>
      <c r="F60" s="182">
        <f t="shared" si="3"/>
        <v>0</v>
      </c>
      <c r="G60" s="182" cm="1">
        <f t="array" ref="G60">-SUMPRODUCT((E3_Verbraucher!$D$21:$XFD$21=B1_Berechnungen!B60)*E3_Verbraucher!$D$23:$XFD$23)</f>
        <v>0</v>
      </c>
      <c r="H60" s="98">
        <f t="shared" si="20"/>
        <v>0</v>
      </c>
      <c r="I60" s="182">
        <f t="shared" si="34"/>
        <v>0</v>
      </c>
      <c r="J60" s="103">
        <f t="shared" si="21"/>
        <v>0</v>
      </c>
      <c r="K60" s="103">
        <f t="shared" si="35"/>
        <v>5646200</v>
      </c>
      <c r="L60" s="98">
        <f t="shared" si="22"/>
        <v>9172753.410118442</v>
      </c>
      <c r="M60" s="269">
        <f>IF(ISNUMBER(IRR((BD$44:BD59,BC60))),IRR((BD$44:BD59,BC60)),"-")</f>
        <v>-9.6023866700114535E-3</v>
      </c>
      <c r="N60" s="97" cm="1">
        <f t="array" ref="N60">SUM((SUMPRODUCT((E3_Verbraucher!$D$21:$XFD$21&lt;B1_Berechnungen!B60)*E3_Verbraucher!$D$26:$XFD$26)+SUMPRODUCT((E3_Verbraucher!$D$21:$XFD$21=B1_Berechnungen!B60)*E3_Verbraucher!$D$26:$XFD$26*E3_Verbraucher!$D$20:$XFD$20))*(1+$G$30)^(B60-B$44),(SUMPRODUCT((E3_Verbraucher!$D$21:$XFD$21&lt;B1_Berechnungen!B60)*E3_Verbraucher!$D$27:$XFD$27)+SUMPRODUCT((E3_Verbraucher!$D$21:$XFD$21=B1_Berechnungen!B60)*E3_Verbraucher!$D$27:$XFD$27*E3_Verbraucher!$D$20:$XFD$20))*((1+$G$30)*(1-E1_Projektdaten!$D$20/100))^(B60-B$44))</f>
        <v>4322830.2343328465</v>
      </c>
      <c r="O60" s="103">
        <f t="shared" si="4"/>
        <v>691136.89046484942</v>
      </c>
      <c r="P60" s="103">
        <f t="shared" si="5"/>
        <v>650001.4828680089</v>
      </c>
      <c r="Q60" s="182">
        <f t="shared" si="6"/>
        <v>0</v>
      </c>
      <c r="R60" s="99"/>
      <c r="S60" s="102"/>
      <c r="T60" s="101">
        <f t="shared" si="7"/>
        <v>5663968.6076657055</v>
      </c>
      <c r="U60" s="97">
        <f>Energiekosten_Holzschnitzel*D60/100*((1+$G$16)^(B60-$B$44))</f>
        <v>640750.59377272183</v>
      </c>
      <c r="V60" s="103">
        <f>Energiekosten_WKK*D60/100*((1+$G$17)^(B60-$B$44))</f>
        <v>800938.2422159022</v>
      </c>
      <c r="W60" s="103">
        <f t="shared" si="8"/>
        <v>0</v>
      </c>
      <c r="X60" s="103">
        <f t="shared" si="9"/>
        <v>0</v>
      </c>
      <c r="Y60" s="98">
        <f t="shared" si="10"/>
        <v>274117.90107923921</v>
      </c>
      <c r="Z60" s="103">
        <f t="shared" si="11"/>
        <v>0</v>
      </c>
      <c r="AA60" s="98">
        <f t="shared" si="12"/>
        <v>19416.684659779439</v>
      </c>
      <c r="AB60" s="98">
        <f>($F$22*(1+$G$22)^(B60-B$44)+$F$23*(1+$G$23)^(B60-B$44))*(B60&gt;=Eing_JahrBegWLief)*VLOOKUP(B60,E1_Projektdaten!$D$83:$I$87,6)/100</f>
        <v>280011.78040777927</v>
      </c>
      <c r="AC60" s="98">
        <f>$F$24*(1+$G$24)^(B60-B$44)*(B60&gt;=Eing_JahrBegWLief)*VLOOKUP(B60,E1_Projektdaten!$D$83:$I$87,6)/100</f>
        <v>519452.33970119857</v>
      </c>
      <c r="AD60" s="98">
        <f t="shared" si="13"/>
        <v>269693.08833245072</v>
      </c>
      <c r="AE60" s="99"/>
      <c r="AF60" s="100"/>
      <c r="AG60" s="95">
        <f t="shared" si="14"/>
        <v>375000.00000000029</v>
      </c>
      <c r="AH60" s="101">
        <f t="shared" si="23"/>
        <v>3179380.6301690717</v>
      </c>
      <c r="AI60" s="97">
        <f t="shared" si="24"/>
        <v>961538.4615384615</v>
      </c>
      <c r="AJ60" s="103">
        <f t="shared" si="25"/>
        <v>4140919.0917075332</v>
      </c>
      <c r="AK60" s="98">
        <f t="shared" si="26"/>
        <v>1523049.5159581723</v>
      </c>
      <c r="AL60" s="104">
        <f t="shared" si="27"/>
        <v>9172753.410118442</v>
      </c>
      <c r="AM60" s="98">
        <f>(E1_Projektdaten!$D$68*(1+Eing_allg_Teuerung/100)^(E1_Projektdaten!$I$68*ROUNDDOWN((AS60-1)/E1_Projektdaten!$I$68,0))/E1_Projektdaten!$I$68
+E1_Projektdaten!$D$69*(1+Eing_allg_Teuerung/100)^(E1_Projektdaten!$I$69*ROUNDDOWN((AS60-1)/E1_Projektdaten!$I$69,0))/E1_Projektdaten!$I$69
+E1_Projektdaten!$D$70*(1+Eing_allg_Teuerung/100)^(E1_Projektdaten!$I$70*ROUNDDOWN((AS60-1)/E1_Projektdaten!$I$69,0))/E1_Projektdaten!$I$70
+E1_Projektdaten!$D$71*(1+Eing_allg_Teuerung/100)^(E1_Projektdaten!$I$71*ROUNDDOWN((AS60-1)/E1_Projektdaten!$I$69,0))/E1_Projektdaten!$I$71
+E1_Projektdaten!$D$72*(1+Eing_allg_Teuerung/100)^(E1_Projektdaten!$I$72*ROUNDDOWN((AS60-1)/E1_Projektdaten!$I$69,0))/E1_Projektdaten!$I$72
+E1_Projektdaten!$D$74*(1+Eing_allg_Teuerung/100)^(E1_Projektdaten!$I$74*ROUNDDOWN((AS60-1)/E1_Projektdaten!$I$69,0))/E1_Projektdaten!$I$74
+E1_Projektdaten!$D$75*(1+Eing_allg_Teuerung/100)^(E1_Projektdaten!$I$75*ROUNDDOWN((AS60-1)/E1_Projektdaten!$I$75,0))/E1_Projektdaten!$I$75
+E1_Projektdaten!$D$76*(1+Eing_allg_Teuerung/100)^(E1_Projektdaten!$I$76*ROUNDDOWN((AS60-1)/E1_Projektdaten!$I$76,0))/E1_Projektdaten!$I$76
+E1_Projektdaten!$D$77*(1+Eing_allg_Teuerung/100)^(E1_Projektdaten!$I$77*ROUNDDOWN((AS60-1)/E1_Projektdaten!$I$77,0))/E1_Projektdaten!$I$77
+E1_Projektdaten!$D$78*(1+Eing_allg_Teuerung/100)^(E1_Projektdaten!$I$78*ROUNDDOWN((AS60-1)/E1_Projektdaten!$I$78,0))/E1_Projektdaten!$I$78
+E1_Projektdaten!$D$80*(1+Eing_allg_Teuerung/100)^(E1_Projektdaten!$I$80*ROUNDDOWN((AS60-1)/E1_Projektdaten!$I$69,0))/E1_Projektdaten!$I$80
)*((AS60)&gt;0)*VLOOKUP(B60,E1_Projektdaten!$D$83:$I$87,6
)/100</f>
        <v>1160858.1653520304</v>
      </c>
      <c r="AN60" s="266">
        <f t="shared" si="28"/>
        <v>4340238.7955211019</v>
      </c>
      <c r="AO60" s="266">
        <f t="shared" si="29"/>
        <v>1323729.8121446036</v>
      </c>
      <c r="AP60" s="269">
        <f t="shared" si="36"/>
        <v>8420739.0951900147</v>
      </c>
      <c r="AQ60" s="198"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+(Gesamtinvestition-SUM(E1_Projektdaten!$D$79:$D$80))*SUMPRODUCT((E1_Projektdaten!$D$83:$D$87=B60)*E1_Projektdaten!$F$83:$F$87)/100-AM60
+AQ59</f>
        <v>14397985.685071563</v>
      </c>
      <c r="AR60" s="105">
        <f t="shared" si="30"/>
        <v>-12500000.000000009</v>
      </c>
      <c r="AS60" s="199">
        <f>MAX(B1_Berechnungen!B60-E1_Projektdaten!$D$23,0)</f>
        <v>14</v>
      </c>
      <c r="AT60" s="49">
        <f>AT59-B1_Berechnungen!I60</f>
        <v>0</v>
      </c>
      <c r="AU60" s="49">
        <f t="shared" si="31"/>
        <v>0</v>
      </c>
      <c r="AV60" s="49">
        <f>IF((SUM(H$44:H60)-SUM(I$44:I60))&lt;=AU60,MAX((SUM(H$44:H60)-SUM(I$44:I60)),0),AU60)</f>
        <v>0</v>
      </c>
      <c r="AW60" s="49">
        <f t="shared" si="15"/>
        <v>961538.4615384615</v>
      </c>
      <c r="AX60" s="49">
        <f t="shared" si="37"/>
        <v>12500000.000000009</v>
      </c>
      <c r="AY60" s="49">
        <f t="shared" si="32"/>
        <v>0</v>
      </c>
      <c r="AZ60" s="49">
        <f>IF((SUM(H$44:H60)-SUM(I$44:I60)-AV60)&lt;=AY60,MAX((SUM(H$44:H60)-SUM(I$44:I60)-AV60),0),AY60)</f>
        <v>0</v>
      </c>
      <c r="BA60" s="49">
        <f t="shared" si="16"/>
        <v>0</v>
      </c>
      <c r="BB60" s="49">
        <f t="shared" si="38"/>
        <v>0</v>
      </c>
      <c r="BC60" s="106">
        <f t="shared" si="17"/>
        <v>15921035.201029737</v>
      </c>
      <c r="BD60" s="106">
        <f t="shared" si="18"/>
        <v>1523049.5159581723</v>
      </c>
    </row>
    <row r="61" spans="2:56" ht="12.95" customHeight="1" x14ac:dyDescent="0.2">
      <c r="B61" s="94">
        <f t="shared" si="33"/>
        <v>2041</v>
      </c>
      <c r="C61" s="95" cm="1">
        <f t="array" ref="C61">(SUMPRODUCT((E3_Verbraucher!$D$21:$XFD$21&lt;B1_Berechnungen!B61)*E3_Verbraucher!$D$18:$XFD$18)+SUMPRODUCT((E3_Verbraucher!$D$21:$XFD$21=B1_Berechnungen!B61)*E3_Verbraucher!$D$18:$XFD$18*E3_Verbraucher!$D$20:$XFD$20))/(100-Eing_Netzverluste)*100*(1-Eing_AbnW/100)^(B1_Berechnungen!B61-Eing_Beginnjahr)</f>
        <v>16393.371904220963</v>
      </c>
      <c r="D61" s="96">
        <f t="shared" si="19"/>
        <v>114.33161129269114</v>
      </c>
      <c r="E61" s="98"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+Gesamtinvestition*SUMPRODUCT((E1_Projektdaten!$D$83:$D$87=B61)*E1_Projektdaten!$F$83:$F$87)/100</f>
        <v>464387.58214799938</v>
      </c>
      <c r="F61" s="182">
        <f t="shared" si="3"/>
        <v>0</v>
      </c>
      <c r="G61" s="182" cm="1">
        <f t="array" ref="G61">-SUMPRODUCT((E3_Verbraucher!$D$21:$XFD$21=B1_Berechnungen!B61)*E3_Verbraucher!$D$23:$XFD$23)</f>
        <v>0</v>
      </c>
      <c r="H61" s="98">
        <f t="shared" si="20"/>
        <v>464387.58214799938</v>
      </c>
      <c r="I61" s="182">
        <f t="shared" si="34"/>
        <v>0</v>
      </c>
      <c r="J61" s="103">
        <f t="shared" si="21"/>
        <v>0</v>
      </c>
      <c r="K61" s="103">
        <f t="shared" si="35"/>
        <v>5181812.4178520003</v>
      </c>
      <c r="L61" s="98">
        <f t="shared" si="22"/>
        <v>10739575.452330781</v>
      </c>
      <c r="M61" s="269">
        <f>IF(ISNUMBER(IRR((BD$44:BD60,BC61))),IRR((BD$44:BD60,BC61)),"-")</f>
        <v>-9.3905654338293232E-3</v>
      </c>
      <c r="N61" s="97" cm="1">
        <f t="array" ref="N61">SUM((SUMPRODUCT((E3_Verbraucher!$D$21:$XFD$21&lt;B1_Berechnungen!B61)*E3_Verbraucher!$D$26:$XFD$26)+SUMPRODUCT((E3_Verbraucher!$D$21:$XFD$21=B1_Berechnungen!B61)*E3_Verbraucher!$D$26:$XFD$26*E3_Verbraucher!$D$20:$XFD$20))*(1+$G$30)^(B61-B$44),(SUMPRODUCT((E3_Verbraucher!$D$21:$XFD$21&lt;B1_Berechnungen!B61)*E3_Verbraucher!$D$27:$XFD$27)+SUMPRODUCT((E3_Verbraucher!$D$21:$XFD$21=B1_Berechnungen!B61)*E3_Verbraucher!$D$27:$XFD$27*E3_Verbraucher!$D$20:$XFD$20))*((1+$G$30)*(1-E1_Projektdaten!$D$20/100))^(B61-B$44))</f>
        <v>4348408.7703204351</v>
      </c>
      <c r="O61" s="103">
        <f t="shared" si="4"/>
        <v>691067.77677580283</v>
      </c>
      <c r="P61" s="103">
        <f t="shared" si="5"/>
        <v>649936.48271972209</v>
      </c>
      <c r="Q61" s="182">
        <f t="shared" si="6"/>
        <v>0</v>
      </c>
      <c r="R61" s="99"/>
      <c r="S61" s="102"/>
      <c r="T61" s="101">
        <f t="shared" si="7"/>
        <v>5689413.0298159597</v>
      </c>
      <c r="U61" s="97">
        <f>Energiekosten_Holzschnitzel*D61/100*((1+$G$16)^(B61-$B$44))</f>
        <v>640686.51871334459</v>
      </c>
      <c r="V61" s="103">
        <f>Energiekosten_WKK*D61/100*((1+$G$17)^(B61-$B$44))</f>
        <v>800858.14839168068</v>
      </c>
      <c r="W61" s="103">
        <f t="shared" si="8"/>
        <v>0</v>
      </c>
      <c r="X61" s="103">
        <f t="shared" si="9"/>
        <v>0</v>
      </c>
      <c r="Y61" s="98">
        <f t="shared" si="10"/>
        <v>274090.48928913131</v>
      </c>
      <c r="Z61" s="103">
        <f t="shared" si="11"/>
        <v>0</v>
      </c>
      <c r="AA61" s="98">
        <f t="shared" si="12"/>
        <v>19414.742991313466</v>
      </c>
      <c r="AB61" s="98">
        <f>($F$22*(1+$G$22)^(B61-B$44)+$F$23*(1+$G$23)^(B61-B$44))*(B61&gt;=Eing_JahrBegWLief)*VLOOKUP(B61,E1_Projektdaten!$D$83:$I$87,6)/100</f>
        <v>282811.89821185707</v>
      </c>
      <c r="AC61" s="98">
        <f>$F$24*(1+$G$24)^(B61-B$44)*(B61&gt;=Eing_JahrBegWLief)*VLOOKUP(B61,E1_Projektdaten!$D$83:$I$87,6)/100</f>
        <v>524646.86309821054</v>
      </c>
      <c r="AD61" s="98">
        <f t="shared" si="13"/>
        <v>272390.01921577525</v>
      </c>
      <c r="AE61" s="99"/>
      <c r="AF61" s="100"/>
      <c r="AG61" s="95">
        <f t="shared" si="14"/>
        <v>346153.84615384636</v>
      </c>
      <c r="AH61" s="101">
        <f t="shared" si="23"/>
        <v>3161052.5260651591</v>
      </c>
      <c r="AI61" s="97">
        <f t="shared" si="24"/>
        <v>961538.4615384615</v>
      </c>
      <c r="AJ61" s="103">
        <f t="shared" si="25"/>
        <v>4122590.9876036206</v>
      </c>
      <c r="AK61" s="98">
        <f t="shared" si="26"/>
        <v>1566822.0422123391</v>
      </c>
      <c r="AL61" s="104">
        <f t="shared" si="27"/>
        <v>10739575.452330781</v>
      </c>
      <c r="AM61" s="98">
        <f>(E1_Projektdaten!$D$68*(1+Eing_allg_Teuerung/100)^(E1_Projektdaten!$I$68*ROUNDDOWN((AS61-1)/E1_Projektdaten!$I$68,0))/E1_Projektdaten!$I$68
+E1_Projektdaten!$D$69*(1+Eing_allg_Teuerung/100)^(E1_Projektdaten!$I$69*ROUNDDOWN((AS61-1)/E1_Projektdaten!$I$69,0))/E1_Projektdaten!$I$69
+E1_Projektdaten!$D$70*(1+Eing_allg_Teuerung/100)^(E1_Projektdaten!$I$70*ROUNDDOWN((AS61-1)/E1_Projektdaten!$I$69,0))/E1_Projektdaten!$I$70
+E1_Projektdaten!$D$71*(1+Eing_allg_Teuerung/100)^(E1_Projektdaten!$I$71*ROUNDDOWN((AS61-1)/E1_Projektdaten!$I$69,0))/E1_Projektdaten!$I$71
+E1_Projektdaten!$D$72*(1+Eing_allg_Teuerung/100)^(E1_Projektdaten!$I$72*ROUNDDOWN((AS61-1)/E1_Projektdaten!$I$69,0))/E1_Projektdaten!$I$72
+E1_Projektdaten!$D$74*(1+Eing_allg_Teuerung/100)^(E1_Projektdaten!$I$74*ROUNDDOWN((AS61-1)/E1_Projektdaten!$I$69,0))/E1_Projektdaten!$I$74
+E1_Projektdaten!$D$75*(1+Eing_allg_Teuerung/100)^(E1_Projektdaten!$I$75*ROUNDDOWN((AS61-1)/E1_Projektdaten!$I$75,0))/E1_Projektdaten!$I$75
+E1_Projektdaten!$D$76*(1+Eing_allg_Teuerung/100)^(E1_Projektdaten!$I$76*ROUNDDOWN((AS61-1)/E1_Projektdaten!$I$76,0))/E1_Projektdaten!$I$76
+E1_Projektdaten!$D$77*(1+Eing_allg_Teuerung/100)^(E1_Projektdaten!$I$77*ROUNDDOWN((AS61-1)/E1_Projektdaten!$I$77,0))/E1_Projektdaten!$I$77
+E1_Projektdaten!$D$78*(1+Eing_allg_Teuerung/100)^(E1_Projektdaten!$I$78*ROUNDDOWN((AS61-1)/E1_Projektdaten!$I$78,0))/E1_Projektdaten!$I$78
+E1_Projektdaten!$D$80*(1+Eing_allg_Teuerung/100)^(E1_Projektdaten!$I$80*ROUNDDOWN((AS61-1)/E1_Projektdaten!$I$69,0))/E1_Projektdaten!$I$80
)*((AS61)&gt;0)*VLOOKUP(B61,E1_Projektdaten!$D$83:$I$87,6
)/100</f>
        <v>1160858.1653520304</v>
      </c>
      <c r="AN61" s="266">
        <f t="shared" si="28"/>
        <v>4321910.6914171893</v>
      </c>
      <c r="AO61" s="266">
        <f t="shared" si="29"/>
        <v>1367502.3383987704</v>
      </c>
      <c r="AP61" s="269">
        <f t="shared" si="36"/>
        <v>9788241.4335887842</v>
      </c>
      <c r="AQ61" s="198"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+(Gesamtinvestition-SUM(E1_Projektdaten!$D$79:$D$80))*SUMPRODUCT((E1_Projektdaten!$D$83:$D$87=B61)*E1_Projektdaten!$F$83:$F$87)/100-AM61
+AQ60</f>
        <v>13237127.519719534</v>
      </c>
      <c r="AR61" s="105">
        <f t="shared" si="30"/>
        <v>-11538461.538461547</v>
      </c>
      <c r="AS61" s="199">
        <f>MAX(B1_Berechnungen!B61-E1_Projektdaten!$D$23,0)</f>
        <v>15</v>
      </c>
      <c r="AT61" s="49">
        <f>AT60-B1_Berechnungen!I61</f>
        <v>0</v>
      </c>
      <c r="AU61" s="49">
        <f t="shared" si="31"/>
        <v>0</v>
      </c>
      <c r="AV61" s="49">
        <f>IF((SUM(H$44:H61)-SUM(I$44:I61))&lt;=AU61,MAX((SUM(H$44:H61)-SUM(I$44:I61)),0),AU61)</f>
        <v>0</v>
      </c>
      <c r="AW61" s="49">
        <f t="shared" si="15"/>
        <v>961538.4615384615</v>
      </c>
      <c r="AX61" s="49">
        <f t="shared" si="37"/>
        <v>11538461.538461547</v>
      </c>
      <c r="AY61" s="49">
        <f t="shared" si="32"/>
        <v>0</v>
      </c>
      <c r="AZ61" s="49">
        <f>IF((SUM(H$44:H61)-SUM(I$44:I61)-AV61)&lt;=AY61,MAX((SUM(H$44:H61)-SUM(I$44:I61)-AV61),0),AY61)</f>
        <v>0</v>
      </c>
      <c r="BA61" s="49">
        <f t="shared" si="16"/>
        <v>0</v>
      </c>
      <c r="BB61" s="49">
        <f t="shared" si="38"/>
        <v>0</v>
      </c>
      <c r="BC61" s="106">
        <f t="shared" si="17"/>
        <v>14339561.979783874</v>
      </c>
      <c r="BD61" s="106">
        <f t="shared" si="18"/>
        <v>1102434.4600643397</v>
      </c>
    </row>
    <row r="62" spans="2:56" ht="12.95" customHeight="1" x14ac:dyDescent="0.2">
      <c r="B62" s="94">
        <f t="shared" si="33"/>
        <v>2042</v>
      </c>
      <c r="C62" s="95" cm="1">
        <f t="array" ref="C62">(SUMPRODUCT((E3_Verbraucher!$D$21:$XFD$21&lt;B1_Berechnungen!B62)*E3_Verbraucher!$D$18:$XFD$18)+SUMPRODUCT((E3_Verbraucher!$D$21:$XFD$21=B1_Berechnungen!B62)*E3_Verbraucher!$D$18:$XFD$18*E3_Verbraucher!$D$20:$XFD$20))/(100-Eing_Netzverluste)*100*(1-Eing_AbnW/100)^(B1_Berechnungen!B62-Eing_Beginnjahr)</f>
        <v>16229.438185178755</v>
      </c>
      <c r="D62" s="96">
        <f t="shared" si="19"/>
        <v>113.18829517976422</v>
      </c>
      <c r="E62" s="98"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+Gesamtinvestition*SUMPRODUCT((E1_Projektdaten!$D$83:$D$87=B62)*E1_Projektdaten!$F$83:$F$87)/100</f>
        <v>0</v>
      </c>
      <c r="F62" s="182">
        <f t="shared" si="3"/>
        <v>0</v>
      </c>
      <c r="G62" s="182" cm="1">
        <f t="array" ref="G62">-SUMPRODUCT((E3_Verbraucher!$D$21:$XFD$21=B1_Berechnungen!B62)*E3_Verbraucher!$D$23:$XFD$23)</f>
        <v>0</v>
      </c>
      <c r="H62" s="98">
        <f t="shared" si="20"/>
        <v>0</v>
      </c>
      <c r="I62" s="182">
        <f t="shared" si="34"/>
        <v>0</v>
      </c>
      <c r="J62" s="103">
        <f t="shared" si="21"/>
        <v>0</v>
      </c>
      <c r="K62" s="103">
        <f t="shared" si="35"/>
        <v>5181812.4178520003</v>
      </c>
      <c r="L62" s="98">
        <f t="shared" si="22"/>
        <v>12350320.651472105</v>
      </c>
      <c r="M62" s="269">
        <f>IF(ISNUMBER(IRR((BD$44:BD61,BC62))),IRR((BD$44:BD61,BC62)),"-")</f>
        <v>-6.7829476994543114E-3</v>
      </c>
      <c r="N62" s="97" cm="1">
        <f t="array" ref="N62">SUM((SUMPRODUCT((E3_Verbraucher!$D$21:$XFD$21&lt;B1_Berechnungen!B62)*E3_Verbraucher!$D$26:$XFD$26)+SUMPRODUCT((E3_Verbraucher!$D$21:$XFD$21=B1_Berechnungen!B62)*E3_Verbraucher!$D$26:$XFD$26*E3_Verbraucher!$D$20:$XFD$20))*(1+$G$30)^(B62-B$44),(SUMPRODUCT((E3_Verbraucher!$D$21:$XFD$21&lt;B1_Berechnungen!B62)*E3_Verbraucher!$D$27:$XFD$27)+SUMPRODUCT((E3_Verbraucher!$D$21:$XFD$21=B1_Berechnungen!B62)*E3_Verbraucher!$D$27:$XFD$27*E3_Verbraucher!$D$20:$XFD$20))*((1+$G$30)*(1-E1_Projektdaten!$D$20/100))^(B62-B$44))</f>
        <v>4374244.8566445354</v>
      </c>
      <c r="O62" s="103">
        <f t="shared" si="4"/>
        <v>690998.66999812541</v>
      </c>
      <c r="P62" s="103">
        <f t="shared" si="5"/>
        <v>649871.4890714502</v>
      </c>
      <c r="Q62" s="182">
        <f t="shared" si="6"/>
        <v>0</v>
      </c>
      <c r="R62" s="99"/>
      <c r="S62" s="102"/>
      <c r="T62" s="101">
        <f t="shared" si="7"/>
        <v>5715115.0157141108</v>
      </c>
      <c r="U62" s="97">
        <f>Energiekosten_Holzschnitzel*D62/100*((1+$G$16)^(B62-$B$44))</f>
        <v>640622.4500614733</v>
      </c>
      <c r="V62" s="103">
        <f>Energiekosten_WKK*D62/100*((1+$G$17)^(B62-$B$44))</f>
        <v>800778.06257684156</v>
      </c>
      <c r="W62" s="103">
        <f t="shared" si="8"/>
        <v>0</v>
      </c>
      <c r="X62" s="103">
        <f t="shared" si="9"/>
        <v>0</v>
      </c>
      <c r="Y62" s="98">
        <f t="shared" si="10"/>
        <v>274063.08024020243</v>
      </c>
      <c r="Z62" s="103">
        <f t="shared" si="11"/>
        <v>0</v>
      </c>
      <c r="AA62" s="98">
        <f t="shared" si="12"/>
        <v>19412.801517014334</v>
      </c>
      <c r="AB62" s="98">
        <f>($F$22*(1+$G$22)^(B62-B$44)+$F$23*(1+$G$23)^(B62-B$44))*(B62&gt;=Eing_JahrBegWLief)*VLOOKUP(B62,E1_Projektdaten!$D$83:$I$87,6)/100</f>
        <v>285640.01719397563</v>
      </c>
      <c r="AC62" s="98">
        <f>$F$24*(1+$G$24)^(B62-B$44)*(B62&gt;=Eing_JahrBegWLief)*VLOOKUP(B62,E1_Projektdaten!$D$83:$I$87,6)/100</f>
        <v>529893.33172919275</v>
      </c>
      <c r="AD62" s="98">
        <f t="shared" si="13"/>
        <v>275113.91940793302</v>
      </c>
      <c r="AE62" s="99"/>
      <c r="AF62" s="100"/>
      <c r="AG62" s="95">
        <f t="shared" si="14"/>
        <v>317307.69230769255</v>
      </c>
      <c r="AH62" s="101">
        <f t="shared" si="23"/>
        <v>3142831.3550343257</v>
      </c>
      <c r="AI62" s="97">
        <f t="shared" si="24"/>
        <v>961538.4615384615</v>
      </c>
      <c r="AJ62" s="103">
        <f t="shared" si="25"/>
        <v>4104369.8165727872</v>
      </c>
      <c r="AK62" s="98">
        <f t="shared" si="26"/>
        <v>1610745.1991413236</v>
      </c>
      <c r="AL62" s="104">
        <f t="shared" si="27"/>
        <v>12350320.651472105</v>
      </c>
      <c r="AM62" s="98">
        <f>(E1_Projektdaten!$D$68*(1+Eing_allg_Teuerung/100)^(E1_Projektdaten!$I$68*ROUNDDOWN((AS62-1)/E1_Projektdaten!$I$68,0))/E1_Projektdaten!$I$68
+E1_Projektdaten!$D$69*(1+Eing_allg_Teuerung/100)^(E1_Projektdaten!$I$69*ROUNDDOWN((AS62-1)/E1_Projektdaten!$I$69,0))/E1_Projektdaten!$I$69
+E1_Projektdaten!$D$70*(1+Eing_allg_Teuerung/100)^(E1_Projektdaten!$I$70*ROUNDDOWN((AS62-1)/E1_Projektdaten!$I$69,0))/E1_Projektdaten!$I$70
+E1_Projektdaten!$D$71*(1+Eing_allg_Teuerung/100)^(E1_Projektdaten!$I$71*ROUNDDOWN((AS62-1)/E1_Projektdaten!$I$69,0))/E1_Projektdaten!$I$71
+E1_Projektdaten!$D$72*(1+Eing_allg_Teuerung/100)^(E1_Projektdaten!$I$72*ROUNDDOWN((AS62-1)/E1_Projektdaten!$I$69,0))/E1_Projektdaten!$I$72
+E1_Projektdaten!$D$74*(1+Eing_allg_Teuerung/100)^(E1_Projektdaten!$I$74*ROUNDDOWN((AS62-1)/E1_Projektdaten!$I$69,0))/E1_Projektdaten!$I$74
+E1_Projektdaten!$D$75*(1+Eing_allg_Teuerung/100)^(E1_Projektdaten!$I$75*ROUNDDOWN((AS62-1)/E1_Projektdaten!$I$75,0))/E1_Projektdaten!$I$75
+E1_Projektdaten!$D$76*(1+Eing_allg_Teuerung/100)^(E1_Projektdaten!$I$76*ROUNDDOWN((AS62-1)/E1_Projektdaten!$I$76,0))/E1_Projektdaten!$I$76
+E1_Projektdaten!$D$77*(1+Eing_allg_Teuerung/100)^(E1_Projektdaten!$I$77*ROUNDDOWN((AS62-1)/E1_Projektdaten!$I$77,0))/E1_Projektdaten!$I$77
+E1_Projektdaten!$D$78*(1+Eing_allg_Teuerung/100)^(E1_Projektdaten!$I$78*ROUNDDOWN((AS62-1)/E1_Projektdaten!$I$78,0))/E1_Projektdaten!$I$78
+E1_Projektdaten!$D$80*(1+Eing_allg_Teuerung/100)^(E1_Projektdaten!$I$80*ROUNDDOWN((AS62-1)/E1_Projektdaten!$I$69,0))/E1_Projektdaten!$I$80
)*((AS62)&gt;0)*VLOOKUP(B62,E1_Projektdaten!$D$83:$I$87,6
)/100</f>
        <v>1165150.6708285636</v>
      </c>
      <c r="AN62" s="266">
        <f t="shared" si="28"/>
        <v>4307982.0258628894</v>
      </c>
      <c r="AO62" s="266">
        <f t="shared" si="29"/>
        <v>1407132.9898512214</v>
      </c>
      <c r="AP62" s="269">
        <f t="shared" si="36"/>
        <v>11195374.423440006</v>
      </c>
      <c r="AQ62" s="198"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+(Gesamtinvestition-SUM(E1_Projektdaten!$D$79:$D$80))*SUMPRODUCT((E1_Projektdaten!$D$83:$D$87=B62)*E1_Projektdaten!$F$83:$F$87)/100-AM62
+AQ61</f>
        <v>12536364.43103897</v>
      </c>
      <c r="AR62" s="105">
        <f t="shared" si="30"/>
        <v>-10576923.076923085</v>
      </c>
      <c r="AS62" s="197">
        <f>MAX(B1_Berechnungen!B62-E1_Projektdaten!$D$23,0)</f>
        <v>16</v>
      </c>
      <c r="AT62" s="49">
        <f>AT61-B1_Berechnungen!I62</f>
        <v>0</v>
      </c>
      <c r="AU62" s="49">
        <f t="shared" si="31"/>
        <v>0</v>
      </c>
      <c r="AV62" s="49">
        <f>IF((SUM(H$44:H62)-SUM(I$44:I62))&lt;=AU62,MAX((SUM(H$44:H62)-SUM(I$44:I62)),0),AU62)</f>
        <v>0</v>
      </c>
      <c r="AW62" s="49">
        <f t="shared" si="15"/>
        <v>961538.4615384615</v>
      </c>
      <c r="AX62" s="49">
        <f t="shared" si="37"/>
        <v>10576923.076923085</v>
      </c>
      <c r="AY62" s="49">
        <f t="shared" si="32"/>
        <v>0</v>
      </c>
      <c r="AZ62" s="49">
        <f>IF((SUM(H$44:H62)-SUM(I$44:I62)-AV62)&lt;=AY62,MAX((SUM(H$44:H62)-SUM(I$44:I62)-AV62),0),AY62)</f>
        <v>0</v>
      </c>
      <c r="BA62" s="49">
        <f t="shared" si="16"/>
        <v>0</v>
      </c>
      <c r="BB62" s="49">
        <f t="shared" si="38"/>
        <v>0</v>
      </c>
      <c r="BC62" s="106">
        <f t="shared" si="17"/>
        <v>14147109.630180294</v>
      </c>
      <c r="BD62" s="106">
        <f t="shared" si="18"/>
        <v>1610745.1991413236</v>
      </c>
    </row>
    <row r="63" spans="2:56" ht="12.95" customHeight="1" x14ac:dyDescent="0.2">
      <c r="B63" s="94">
        <f t="shared" si="33"/>
        <v>2043</v>
      </c>
      <c r="C63" s="95" cm="1">
        <f t="array" ref="C63">(SUMPRODUCT((E3_Verbraucher!$D$21:$XFD$21&lt;B1_Berechnungen!B63)*E3_Verbraucher!$D$18:$XFD$18)+SUMPRODUCT((E3_Verbraucher!$D$21:$XFD$21=B1_Berechnungen!B63)*E3_Verbraucher!$D$18:$XFD$18*E3_Verbraucher!$D$20:$XFD$20))/(100-Eing_Netzverluste)*100*(1-Eing_AbnW/100)^(B1_Berechnungen!B63-Eing_Beginnjahr)</f>
        <v>16067.143803326966</v>
      </c>
      <c r="D63" s="96">
        <f t="shared" si="19"/>
        <v>112.05641222796659</v>
      </c>
      <c r="E63" s="98"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+Gesamtinvestition*SUMPRODUCT((E1_Projektdaten!$D$83:$D$87=B63)*E1_Projektdaten!$F$83:$F$87)/100</f>
        <v>0</v>
      </c>
      <c r="F63" s="182">
        <f t="shared" si="3"/>
        <v>0</v>
      </c>
      <c r="G63" s="182" cm="1">
        <f t="array" ref="G63">-SUMPRODUCT((E3_Verbraucher!$D$21:$XFD$21=B1_Berechnungen!B63)*E3_Verbraucher!$D$23:$XFD$23)</f>
        <v>0</v>
      </c>
      <c r="H63" s="98">
        <f t="shared" si="20"/>
        <v>0</v>
      </c>
      <c r="I63" s="182">
        <f t="shared" si="34"/>
        <v>0</v>
      </c>
      <c r="J63" s="103">
        <f t="shared" si="21"/>
        <v>0</v>
      </c>
      <c r="K63" s="103">
        <f t="shared" si="35"/>
        <v>5181812.4178520003</v>
      </c>
      <c r="L63" s="98">
        <f t="shared" si="22"/>
        <v>14005141.144387282</v>
      </c>
      <c r="M63" s="269">
        <f>IF(ISNUMBER(IRR((BD$44:BD62,BC63))),IRR((BD$44:BD62,BC63)),"-")</f>
        <v>-5.4196399565962228E-3</v>
      </c>
      <c r="N63" s="97" cm="1">
        <f t="array" ref="N63">SUM((SUMPRODUCT((E3_Verbraucher!$D$21:$XFD$21&lt;B1_Berechnungen!B63)*E3_Verbraucher!$D$26:$XFD$26)+SUMPRODUCT((E3_Verbraucher!$D$21:$XFD$21=B1_Berechnungen!B63)*E3_Verbraucher!$D$26:$XFD$26*E3_Verbraucher!$D$20:$XFD$20))*(1+$G$30)^(B63-B$44),(SUMPRODUCT((E3_Verbraucher!$D$21:$XFD$21&lt;B1_Berechnungen!B63)*E3_Verbraucher!$D$27:$XFD$27)+SUMPRODUCT((E3_Verbraucher!$D$21:$XFD$21=B1_Berechnungen!B63)*E3_Verbraucher!$D$27:$XFD$27*E3_Verbraucher!$D$20:$XFD$20))*((1+$G$30)*(1-E1_Projektdaten!$D$20/100))^(B63-B$44))</f>
        <v>4400341.0686320141</v>
      </c>
      <c r="O63" s="103">
        <f t="shared" si="4"/>
        <v>690929.57013112539</v>
      </c>
      <c r="P63" s="103">
        <f t="shared" si="5"/>
        <v>649806.50192254293</v>
      </c>
      <c r="Q63" s="182">
        <f t="shared" si="6"/>
        <v>0</v>
      </c>
      <c r="R63" s="99"/>
      <c r="S63" s="102"/>
      <c r="T63" s="101">
        <f t="shared" si="7"/>
        <v>5741077.1406856822</v>
      </c>
      <c r="U63" s="97">
        <f>Energiekosten_Holzschnitzel*D63/100*((1+$G$16)^(B63-$B$44))</f>
        <v>640558.38781646697</v>
      </c>
      <c r="V63" s="103">
        <f>Energiekosten_WKK*D63/100*((1+$G$17)^(B63-$B$44))</f>
        <v>800697.98477058369</v>
      </c>
      <c r="W63" s="103">
        <f t="shared" si="8"/>
        <v>0</v>
      </c>
      <c r="X63" s="103">
        <f t="shared" si="9"/>
        <v>0</v>
      </c>
      <c r="Y63" s="98">
        <f t="shared" si="10"/>
        <v>274035.67393217835</v>
      </c>
      <c r="Z63" s="103">
        <f t="shared" si="11"/>
        <v>0</v>
      </c>
      <c r="AA63" s="98">
        <f t="shared" si="12"/>
        <v>19410.860236862631</v>
      </c>
      <c r="AB63" s="98">
        <f>($F$22*(1+$G$22)^(B63-B$44)+$F$23*(1+$G$23)^(B63-B$44))*(B63&gt;=Eing_JahrBegWLief)*VLOOKUP(B63,E1_Projektdaten!$D$83:$I$87,6)/100</f>
        <v>288496.41736591537</v>
      </c>
      <c r="AC63" s="98">
        <f>$F$24*(1+$G$24)^(B63-B$44)*(B63&gt;=Eing_JahrBegWLief)*VLOOKUP(B63,E1_Projektdaten!$D$83:$I$87,6)/100</f>
        <v>535192.26504648454</v>
      </c>
      <c r="AD63" s="98">
        <f t="shared" si="13"/>
        <v>277865.05860201229</v>
      </c>
      <c r="AE63" s="99"/>
      <c r="AF63" s="100"/>
      <c r="AG63" s="95">
        <f t="shared" si="14"/>
        <v>288461.53846153873</v>
      </c>
      <c r="AH63" s="101">
        <f t="shared" si="23"/>
        <v>3124718.1862320425</v>
      </c>
      <c r="AI63" s="97">
        <f t="shared" si="24"/>
        <v>961538.4615384615</v>
      </c>
      <c r="AJ63" s="103">
        <f t="shared" si="25"/>
        <v>4086256.647770504</v>
      </c>
      <c r="AK63" s="98">
        <f t="shared" si="26"/>
        <v>1654820.4929151782</v>
      </c>
      <c r="AL63" s="104">
        <f t="shared" si="27"/>
        <v>14005141.144387282</v>
      </c>
      <c r="AM63" s="98">
        <f>(E1_Projektdaten!$D$68*(1+Eing_allg_Teuerung/100)^(E1_Projektdaten!$I$68*ROUNDDOWN((AS63-1)/E1_Projektdaten!$I$68,0))/E1_Projektdaten!$I$68
+E1_Projektdaten!$D$69*(1+Eing_allg_Teuerung/100)^(E1_Projektdaten!$I$69*ROUNDDOWN((AS63-1)/E1_Projektdaten!$I$69,0))/E1_Projektdaten!$I$69
+E1_Projektdaten!$D$70*(1+Eing_allg_Teuerung/100)^(E1_Projektdaten!$I$70*ROUNDDOWN((AS63-1)/E1_Projektdaten!$I$69,0))/E1_Projektdaten!$I$70
+E1_Projektdaten!$D$71*(1+Eing_allg_Teuerung/100)^(E1_Projektdaten!$I$71*ROUNDDOWN((AS63-1)/E1_Projektdaten!$I$69,0))/E1_Projektdaten!$I$71
+E1_Projektdaten!$D$72*(1+Eing_allg_Teuerung/100)^(E1_Projektdaten!$I$72*ROUNDDOWN((AS63-1)/E1_Projektdaten!$I$69,0))/E1_Projektdaten!$I$72
+E1_Projektdaten!$D$74*(1+Eing_allg_Teuerung/100)^(E1_Projektdaten!$I$74*ROUNDDOWN((AS63-1)/E1_Projektdaten!$I$69,0))/E1_Projektdaten!$I$74
+E1_Projektdaten!$D$75*(1+Eing_allg_Teuerung/100)^(E1_Projektdaten!$I$75*ROUNDDOWN((AS63-1)/E1_Projektdaten!$I$75,0))/E1_Projektdaten!$I$75
+E1_Projektdaten!$D$76*(1+Eing_allg_Teuerung/100)^(E1_Projektdaten!$I$76*ROUNDDOWN((AS63-1)/E1_Projektdaten!$I$76,0))/E1_Projektdaten!$I$76
+E1_Projektdaten!$D$77*(1+Eing_allg_Teuerung/100)^(E1_Projektdaten!$I$77*ROUNDDOWN((AS63-1)/E1_Projektdaten!$I$77,0))/E1_Projektdaten!$I$77
+E1_Projektdaten!$D$78*(1+Eing_allg_Teuerung/100)^(E1_Projektdaten!$I$78*ROUNDDOWN((AS63-1)/E1_Projektdaten!$I$78,0))/E1_Projektdaten!$I$78
+E1_Projektdaten!$D$80*(1+Eing_allg_Teuerung/100)^(E1_Projektdaten!$I$80*ROUNDDOWN((AS63-1)/E1_Projektdaten!$I$69,0))/E1_Projektdaten!$I$80
)*((AS63)&gt;0)*VLOOKUP(B63,E1_Projektdaten!$D$83:$I$87,6
)/100</f>
        <v>1165150.6708285636</v>
      </c>
      <c r="AN63" s="266">
        <f t="shared" si="28"/>
        <v>4289868.8570606057</v>
      </c>
      <c r="AO63" s="266">
        <f t="shared" si="29"/>
        <v>1451208.2836250765</v>
      </c>
      <c r="AP63" s="269">
        <f t="shared" si="36"/>
        <v>12646582.707065083</v>
      </c>
      <c r="AQ63" s="198"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+(Gesamtinvestition-SUM(E1_Projektdaten!$D$79:$D$80))*SUMPRODUCT((E1_Projektdaten!$D$83:$D$87=B63)*E1_Projektdaten!$F$83:$F$87)/100-AM63
+AQ62</f>
        <v>11371213.760210406</v>
      </c>
      <c r="AR63" s="105">
        <f t="shared" si="30"/>
        <v>-9615384.6153846234</v>
      </c>
      <c r="AS63" s="199">
        <f>MAX(B1_Berechnungen!B63-E1_Projektdaten!$D$23,0)</f>
        <v>17</v>
      </c>
      <c r="AT63" s="49">
        <f>AT62-B1_Berechnungen!I63</f>
        <v>0</v>
      </c>
      <c r="AU63" s="49">
        <f t="shared" si="31"/>
        <v>0</v>
      </c>
      <c r="AV63" s="49">
        <f>IF((SUM(H$44:H63)-SUM(I$44:I63))&lt;=AU63,MAX((SUM(H$44:H63)-SUM(I$44:I63)),0),AU63)</f>
        <v>0</v>
      </c>
      <c r="AW63" s="49">
        <f t="shared" si="15"/>
        <v>961538.4615384615</v>
      </c>
      <c r="AX63" s="49">
        <f t="shared" si="37"/>
        <v>9615384.6153846234</v>
      </c>
      <c r="AY63" s="49">
        <f t="shared" si="32"/>
        <v>0</v>
      </c>
      <c r="AZ63" s="49">
        <f>IF((SUM(H$44:H63)-SUM(I$44:I63)-AV63)&lt;=AY63,MAX((SUM(H$44:H63)-SUM(I$44:I63)-AV63),0),AY63)</f>
        <v>0</v>
      </c>
      <c r="BA63" s="49">
        <f t="shared" si="16"/>
        <v>0</v>
      </c>
      <c r="BB63" s="49">
        <f t="shared" si="38"/>
        <v>0</v>
      </c>
      <c r="BC63" s="106">
        <f t="shared" si="17"/>
        <v>13026034.253125584</v>
      </c>
      <c r="BD63" s="106">
        <f t="shared" si="18"/>
        <v>1654820.4929151782</v>
      </c>
    </row>
    <row r="64" spans="2:56" ht="12.95" customHeight="1" x14ac:dyDescent="0.2">
      <c r="B64" s="94">
        <f t="shared" si="33"/>
        <v>2044</v>
      </c>
      <c r="C64" s="95" cm="1">
        <f t="array" ref="C64">(SUMPRODUCT((E3_Verbraucher!$D$21:$XFD$21&lt;B1_Berechnungen!B64)*E3_Verbraucher!$D$18:$XFD$18)+SUMPRODUCT((E3_Verbraucher!$D$21:$XFD$21=B1_Berechnungen!B64)*E3_Verbraucher!$D$18:$XFD$18*E3_Verbraucher!$D$20:$XFD$20))/(100-Eing_Netzverluste)*100*(1-Eing_AbnW/100)^(B1_Berechnungen!B64-Eing_Beginnjahr)</f>
        <v>15906.472365293697</v>
      </c>
      <c r="D64" s="96">
        <f t="shared" si="19"/>
        <v>110.93584810568693</v>
      </c>
      <c r="E64" s="98"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+Gesamtinvestition*SUMPRODUCT((E1_Projektdaten!$D$83:$D$87=B64)*E1_Projektdaten!$F$83:$F$87)/100</f>
        <v>0</v>
      </c>
      <c r="F64" s="182">
        <f t="shared" si="3"/>
        <v>0</v>
      </c>
      <c r="G64" s="182" cm="1">
        <f t="array" ref="G64">-SUMPRODUCT((E3_Verbraucher!$D$21:$XFD$21=B1_Berechnungen!B64)*E3_Verbraucher!$D$23:$XFD$23)</f>
        <v>0</v>
      </c>
      <c r="H64" s="98">
        <f t="shared" si="20"/>
        <v>0</v>
      </c>
      <c r="I64" s="182">
        <f t="shared" si="34"/>
        <v>0</v>
      </c>
      <c r="J64" s="103">
        <f t="shared" si="21"/>
        <v>0</v>
      </c>
      <c r="K64" s="103">
        <f t="shared" si="35"/>
        <v>5181812.4178520003</v>
      </c>
      <c r="L64" s="98">
        <f t="shared" si="22"/>
        <v>15704190.589152955</v>
      </c>
      <c r="M64" s="269">
        <f>IF(ISNUMBER(IRR((BD$44:BD63,BC64))),IRR((BD$44:BD63,BC64)),"-")</f>
        <v>-4.0737455180479554E-3</v>
      </c>
      <c r="N64" s="97" cm="1">
        <f t="array" ref="N64">SUM((SUMPRODUCT((E3_Verbraucher!$D$21:$XFD$21&lt;B1_Berechnungen!B64)*E3_Verbraucher!$D$26:$XFD$26)+SUMPRODUCT((E3_Verbraucher!$D$21:$XFD$21=B1_Berechnungen!B64)*E3_Verbraucher!$D$26:$XFD$26*E3_Verbraucher!$D$20:$XFD$20))*(1+$G$30)^(B64-B$44),(SUMPRODUCT((E3_Verbraucher!$D$21:$XFD$21&lt;B1_Berechnungen!B64)*E3_Verbraucher!$D$27:$XFD$27)+SUMPRODUCT((E3_Verbraucher!$D$21:$XFD$21=B1_Berechnungen!B64)*E3_Verbraucher!$D$27:$XFD$27*E3_Verbraucher!$D$20:$XFD$20))*((1+$G$30)*(1-E1_Projektdaten!$D$20/100))^(B64-B$44))</f>
        <v>4426700.007363027</v>
      </c>
      <c r="O64" s="103">
        <f t="shared" si="4"/>
        <v>690860.47717411246</v>
      </c>
      <c r="P64" s="103">
        <f t="shared" si="5"/>
        <v>649741.5212723508</v>
      </c>
      <c r="Q64" s="182">
        <f t="shared" si="6"/>
        <v>0</v>
      </c>
      <c r="R64" s="99"/>
      <c r="S64" s="102"/>
      <c r="T64" s="101">
        <f t="shared" si="7"/>
        <v>5767302.0058094906</v>
      </c>
      <c r="U64" s="97">
        <f>Energiekosten_Holzschnitzel*D64/100*((1+$G$16)^(B64-$B$44))</f>
        <v>640494.33197768533</v>
      </c>
      <c r="V64" s="103">
        <f>Energiekosten_WKK*D64/100*((1+$G$17)^(B64-$B$44))</f>
        <v>800617.91497210669</v>
      </c>
      <c r="W64" s="103">
        <f t="shared" si="8"/>
        <v>0</v>
      </c>
      <c r="X64" s="103">
        <f t="shared" si="9"/>
        <v>0</v>
      </c>
      <c r="Y64" s="98">
        <f t="shared" si="10"/>
        <v>274008.27036478516</v>
      </c>
      <c r="Z64" s="103">
        <f t="shared" si="11"/>
        <v>0</v>
      </c>
      <c r="AA64" s="98">
        <f t="shared" si="12"/>
        <v>19408.919150838945</v>
      </c>
      <c r="AB64" s="98">
        <f>($F$22*(1+$G$22)^(B64-B$44)+$F$23*(1+$G$23)^(B64-B$44))*(B64&gt;=Eing_JahrBegWLief)*VLOOKUP(B64,E1_Projektdaten!$D$83:$I$87,6)/100</f>
        <v>291381.38153957453</v>
      </c>
      <c r="AC64" s="98">
        <f>$F$24*(1+$G$24)^(B64-B$44)*(B64&gt;=Eing_JahrBegWLief)*VLOOKUP(B64,E1_Projektdaten!$D$83:$I$87,6)/100</f>
        <v>540544.18769694935</v>
      </c>
      <c r="AD64" s="98">
        <f t="shared" si="13"/>
        <v>280643.70918803243</v>
      </c>
      <c r="AE64" s="99"/>
      <c r="AF64" s="100"/>
      <c r="AG64" s="95">
        <f t="shared" si="14"/>
        <v>259615.38461538486</v>
      </c>
      <c r="AH64" s="101">
        <f t="shared" si="23"/>
        <v>3106714.099505357</v>
      </c>
      <c r="AI64" s="97">
        <f t="shared" si="24"/>
        <v>961538.4615384615</v>
      </c>
      <c r="AJ64" s="103">
        <f t="shared" si="25"/>
        <v>4068252.5610438185</v>
      </c>
      <c r="AK64" s="98">
        <f t="shared" si="26"/>
        <v>1699049.4447656721</v>
      </c>
      <c r="AL64" s="104">
        <f t="shared" si="27"/>
        <v>15704190.589152955</v>
      </c>
      <c r="AM64" s="98">
        <f>(E1_Projektdaten!$D$68*(1+Eing_allg_Teuerung/100)^(E1_Projektdaten!$I$68*ROUNDDOWN((AS64-1)/E1_Projektdaten!$I$68,0))/E1_Projektdaten!$I$68
+E1_Projektdaten!$D$69*(1+Eing_allg_Teuerung/100)^(E1_Projektdaten!$I$69*ROUNDDOWN((AS64-1)/E1_Projektdaten!$I$69,0))/E1_Projektdaten!$I$69
+E1_Projektdaten!$D$70*(1+Eing_allg_Teuerung/100)^(E1_Projektdaten!$I$70*ROUNDDOWN((AS64-1)/E1_Projektdaten!$I$69,0))/E1_Projektdaten!$I$70
+E1_Projektdaten!$D$71*(1+Eing_allg_Teuerung/100)^(E1_Projektdaten!$I$71*ROUNDDOWN((AS64-1)/E1_Projektdaten!$I$69,0))/E1_Projektdaten!$I$71
+E1_Projektdaten!$D$72*(1+Eing_allg_Teuerung/100)^(E1_Projektdaten!$I$72*ROUNDDOWN((AS64-1)/E1_Projektdaten!$I$69,0))/E1_Projektdaten!$I$72
+E1_Projektdaten!$D$74*(1+Eing_allg_Teuerung/100)^(E1_Projektdaten!$I$74*ROUNDDOWN((AS64-1)/E1_Projektdaten!$I$69,0))/E1_Projektdaten!$I$74
+E1_Projektdaten!$D$75*(1+Eing_allg_Teuerung/100)^(E1_Projektdaten!$I$75*ROUNDDOWN((AS64-1)/E1_Projektdaten!$I$75,0))/E1_Projektdaten!$I$75
+E1_Projektdaten!$D$76*(1+Eing_allg_Teuerung/100)^(E1_Projektdaten!$I$76*ROUNDDOWN((AS64-1)/E1_Projektdaten!$I$76,0))/E1_Projektdaten!$I$76
+E1_Projektdaten!$D$77*(1+Eing_allg_Teuerung/100)^(E1_Projektdaten!$I$77*ROUNDDOWN((AS64-1)/E1_Projektdaten!$I$77,0))/E1_Projektdaten!$I$77
+E1_Projektdaten!$D$78*(1+Eing_allg_Teuerung/100)^(E1_Projektdaten!$I$78*ROUNDDOWN((AS64-1)/E1_Projektdaten!$I$78,0))/E1_Projektdaten!$I$78
+E1_Projektdaten!$D$80*(1+Eing_allg_Teuerung/100)^(E1_Projektdaten!$I$80*ROUNDDOWN((AS64-1)/E1_Projektdaten!$I$69,0))/E1_Projektdaten!$I$80
)*((AS64)&gt;0)*VLOOKUP(B64,E1_Projektdaten!$D$83:$I$87,6
)/100</f>
        <v>1165150.6708285636</v>
      </c>
      <c r="AN64" s="266">
        <f t="shared" si="28"/>
        <v>4271864.7703339206</v>
      </c>
      <c r="AO64" s="266">
        <f t="shared" si="29"/>
        <v>1495437.23547557</v>
      </c>
      <c r="AP64" s="269">
        <f t="shared" si="36"/>
        <v>14142019.942540653</v>
      </c>
      <c r="AQ64" s="198"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+(Gesamtinvestition-SUM(E1_Projektdaten!$D$79:$D$80))*SUMPRODUCT((E1_Projektdaten!$D$83:$D$87=B64)*E1_Projektdaten!$F$83:$F$87)/100-AM64
+AQ63</f>
        <v>10206063.089381842</v>
      </c>
      <c r="AR64" s="105">
        <f t="shared" si="30"/>
        <v>-8653846.1538461614</v>
      </c>
      <c r="AS64" s="199">
        <f>MAX(B1_Berechnungen!B64-E1_Projektdaten!$D$23,0)</f>
        <v>18</v>
      </c>
      <c r="AT64" s="49">
        <f>AT63-B1_Berechnungen!I64</f>
        <v>0</v>
      </c>
      <c r="AU64" s="49">
        <f t="shared" si="31"/>
        <v>0</v>
      </c>
      <c r="AV64" s="49">
        <f>IF((SUM(H$44:H64)-SUM(I$44:I64))&lt;=AU64,MAX((SUM(H$44:H64)-SUM(I$44:I64)),0),AU64)</f>
        <v>0</v>
      </c>
      <c r="AW64" s="49">
        <f t="shared" si="15"/>
        <v>961538.4615384615</v>
      </c>
      <c r="AX64" s="49">
        <f t="shared" si="37"/>
        <v>8653846.1538461614</v>
      </c>
      <c r="AY64" s="49">
        <f t="shared" si="32"/>
        <v>0</v>
      </c>
      <c r="AZ64" s="49">
        <f>IF((SUM(H$44:H64)-SUM(I$44:I64)-AV64)&lt;=AY64,MAX((SUM(H$44:H64)-SUM(I$44:I64)-AV64),0),AY64)</f>
        <v>0</v>
      </c>
      <c r="BA64" s="49">
        <f t="shared" si="16"/>
        <v>0</v>
      </c>
      <c r="BB64" s="49">
        <f t="shared" si="38"/>
        <v>0</v>
      </c>
      <c r="BC64" s="106">
        <f t="shared" si="17"/>
        <v>11905112.534147514</v>
      </c>
      <c r="BD64" s="106">
        <f t="shared" si="18"/>
        <v>1699049.4447656721</v>
      </c>
    </row>
    <row r="65" spans="2:56" ht="12.95" customHeight="1" x14ac:dyDescent="0.2">
      <c r="B65" s="94">
        <f t="shared" si="33"/>
        <v>2045</v>
      </c>
      <c r="C65" s="95" cm="1">
        <f t="array" ref="C65">(SUMPRODUCT((E3_Verbraucher!$D$21:$XFD$21&lt;B1_Berechnungen!B65)*E3_Verbraucher!$D$18:$XFD$18)+SUMPRODUCT((E3_Verbraucher!$D$21:$XFD$21=B1_Berechnungen!B65)*E3_Verbraucher!$D$18:$XFD$18*E3_Verbraucher!$D$20:$XFD$20))/(100-Eing_Netzverluste)*100*(1-Eing_AbnW/100)^(B1_Berechnungen!B65-Eing_Beginnjahr)</f>
        <v>15747.407641640761</v>
      </c>
      <c r="D65" s="96">
        <f t="shared" si="19"/>
        <v>109.82648962463004</v>
      </c>
      <c r="E65" s="98"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+Gesamtinvestition*SUMPRODUCT((E1_Projektdaten!$D$83:$D$87=B65)*E1_Projektdaten!$F$83:$F$87)/100</f>
        <v>0</v>
      </c>
      <c r="F65" s="182">
        <f t="shared" si="3"/>
        <v>0</v>
      </c>
      <c r="G65" s="182" cm="1">
        <f t="array" ref="G65">-SUMPRODUCT((E3_Verbraucher!$D$21:$XFD$21=B1_Berechnungen!B65)*E3_Verbraucher!$D$23:$XFD$23)</f>
        <v>0</v>
      </c>
      <c r="H65" s="98">
        <f t="shared" si="20"/>
        <v>0</v>
      </c>
      <c r="I65" s="182">
        <f t="shared" si="34"/>
        <v>0</v>
      </c>
      <c r="J65" s="103">
        <f t="shared" si="21"/>
        <v>0</v>
      </c>
      <c r="K65" s="103">
        <f t="shared" si="35"/>
        <v>5181812.4178520003</v>
      </c>
      <c r="L65" s="98">
        <f t="shared" si="22"/>
        <v>17447624.180289853</v>
      </c>
      <c r="M65" s="269">
        <f>IF(ISNUMBER(IRR((BD$44:BD64,BC65))),IRR((BD$44:BD64,BC65)),"-")</f>
        <v>-2.7379204308408678E-3</v>
      </c>
      <c r="N65" s="97" cm="1">
        <f t="array" ref="N65">SUM((SUMPRODUCT((E3_Verbraucher!$D$21:$XFD$21&lt;B1_Berechnungen!B65)*E3_Verbraucher!$D$26:$XFD$26)+SUMPRODUCT((E3_Verbraucher!$D$21:$XFD$21=B1_Berechnungen!B65)*E3_Verbraucher!$D$26:$XFD$26*E3_Verbraucher!$D$20:$XFD$20))*(1+$G$30)^(B65-B$44),(SUMPRODUCT((E3_Verbraucher!$D$21:$XFD$21&lt;B1_Berechnungen!B65)*E3_Verbraucher!$D$27:$XFD$27)+SUMPRODUCT((E3_Verbraucher!$D$21:$XFD$21=B1_Berechnungen!B65)*E3_Verbraucher!$D$27:$XFD$27*E3_Verbraucher!$D$20:$XFD$20))*((1+$G$30)*(1-E1_Projektdaten!$D$20/100))^(B65-B$44))</f>
        <v>4453324.2999285441</v>
      </c>
      <c r="O65" s="103">
        <f t="shared" si="4"/>
        <v>690791.39112639474</v>
      </c>
      <c r="P65" s="103">
        <f t="shared" si="5"/>
        <v>649676.5471202234</v>
      </c>
      <c r="Q65" s="182">
        <f t="shared" si="6"/>
        <v>0</v>
      </c>
      <c r="R65" s="99"/>
      <c r="S65" s="102"/>
      <c r="T65" s="101">
        <f t="shared" si="7"/>
        <v>5793792.2381751621</v>
      </c>
      <c r="U65" s="97">
        <f>Energiekosten_Holzschnitzel*D65/100*((1+$G$16)^(B65-$B$44))</f>
        <v>640430.28254448751</v>
      </c>
      <c r="V65" s="103">
        <f>Energiekosten_WKK*D65/100*((1+$G$17)^(B65-$B$44))</f>
        <v>800537.85318060941</v>
      </c>
      <c r="W65" s="103">
        <f t="shared" si="8"/>
        <v>0</v>
      </c>
      <c r="X65" s="103">
        <f t="shared" si="9"/>
        <v>0</v>
      </c>
      <c r="Y65" s="98">
        <f t="shared" si="10"/>
        <v>273980.86953774863</v>
      </c>
      <c r="Z65" s="103">
        <f t="shared" si="11"/>
        <v>0</v>
      </c>
      <c r="AA65" s="98">
        <f t="shared" si="12"/>
        <v>19406.978258923857</v>
      </c>
      <c r="AB65" s="98">
        <f>($F$22*(1+$G$22)^(B65-B$44)+$F$23*(1+$G$23)^(B65-B$44))*(B65&gt;=Eing_JahrBegWLief)*VLOOKUP(B65,E1_Projektdaten!$D$83:$I$87,6)/100</f>
        <v>294295.19535497029</v>
      </c>
      <c r="AC65" s="98">
        <f>$F$24*(1+$G$24)^(B65-B$44)*(B65&gt;=Eing_JahrBegWLief)*VLOOKUP(B65,E1_Projektdaten!$D$83:$I$87,6)/100</f>
        <v>545949.62957391888</v>
      </c>
      <c r="AD65" s="98">
        <f t="shared" si="13"/>
        <v>283450.14627991273</v>
      </c>
      <c r="AE65" s="99"/>
      <c r="AF65" s="100"/>
      <c r="AG65" s="95">
        <f t="shared" si="14"/>
        <v>230769.23076923098</v>
      </c>
      <c r="AH65" s="101">
        <f t="shared" si="23"/>
        <v>3088820.1854998022</v>
      </c>
      <c r="AI65" s="97">
        <f t="shared" si="24"/>
        <v>961538.4615384615</v>
      </c>
      <c r="AJ65" s="103">
        <f t="shared" si="25"/>
        <v>4050358.6470382637</v>
      </c>
      <c r="AK65" s="98">
        <f t="shared" si="26"/>
        <v>1743433.5911368984</v>
      </c>
      <c r="AL65" s="104">
        <f t="shared" si="27"/>
        <v>17447624.180289853</v>
      </c>
      <c r="AM65" s="98">
        <f>(E1_Projektdaten!$D$68*(1+Eing_allg_Teuerung/100)^(E1_Projektdaten!$I$68*ROUNDDOWN((AS65-1)/E1_Projektdaten!$I$68,0))/E1_Projektdaten!$I$68
+E1_Projektdaten!$D$69*(1+Eing_allg_Teuerung/100)^(E1_Projektdaten!$I$69*ROUNDDOWN((AS65-1)/E1_Projektdaten!$I$69,0))/E1_Projektdaten!$I$69
+E1_Projektdaten!$D$70*(1+Eing_allg_Teuerung/100)^(E1_Projektdaten!$I$70*ROUNDDOWN((AS65-1)/E1_Projektdaten!$I$69,0))/E1_Projektdaten!$I$70
+E1_Projektdaten!$D$71*(1+Eing_allg_Teuerung/100)^(E1_Projektdaten!$I$71*ROUNDDOWN((AS65-1)/E1_Projektdaten!$I$69,0))/E1_Projektdaten!$I$71
+E1_Projektdaten!$D$72*(1+Eing_allg_Teuerung/100)^(E1_Projektdaten!$I$72*ROUNDDOWN((AS65-1)/E1_Projektdaten!$I$69,0))/E1_Projektdaten!$I$72
+E1_Projektdaten!$D$74*(1+Eing_allg_Teuerung/100)^(E1_Projektdaten!$I$74*ROUNDDOWN((AS65-1)/E1_Projektdaten!$I$69,0))/E1_Projektdaten!$I$74
+E1_Projektdaten!$D$75*(1+Eing_allg_Teuerung/100)^(E1_Projektdaten!$I$75*ROUNDDOWN((AS65-1)/E1_Projektdaten!$I$75,0))/E1_Projektdaten!$I$75
+E1_Projektdaten!$D$76*(1+Eing_allg_Teuerung/100)^(E1_Projektdaten!$I$76*ROUNDDOWN((AS65-1)/E1_Projektdaten!$I$76,0))/E1_Projektdaten!$I$76
+E1_Projektdaten!$D$77*(1+Eing_allg_Teuerung/100)^(E1_Projektdaten!$I$77*ROUNDDOWN((AS65-1)/E1_Projektdaten!$I$77,0))/E1_Projektdaten!$I$77
+E1_Projektdaten!$D$78*(1+Eing_allg_Teuerung/100)^(E1_Projektdaten!$I$78*ROUNDDOWN((AS65-1)/E1_Projektdaten!$I$78,0))/E1_Projektdaten!$I$78
+E1_Projektdaten!$D$80*(1+Eing_allg_Teuerung/100)^(E1_Projektdaten!$I$80*ROUNDDOWN((AS65-1)/E1_Projektdaten!$I$69,0))/E1_Projektdaten!$I$80
)*((AS65)&gt;0)*VLOOKUP(B65,E1_Projektdaten!$D$83:$I$87,6
)/100</f>
        <v>1165150.6708285636</v>
      </c>
      <c r="AN65" s="266">
        <f t="shared" si="28"/>
        <v>4253970.8563283663</v>
      </c>
      <c r="AO65" s="266">
        <f t="shared" si="29"/>
        <v>1539821.3818467958</v>
      </c>
      <c r="AP65" s="269">
        <f t="shared" si="36"/>
        <v>15681841.32438745</v>
      </c>
      <c r="AQ65" s="198"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+(Gesamtinvestition-SUM(E1_Projektdaten!$D$79:$D$80))*SUMPRODUCT((E1_Projektdaten!$D$83:$D$87=B65)*E1_Projektdaten!$F$83:$F$87)/100-AM65
+AQ64</f>
        <v>9040912.4185532779</v>
      </c>
      <c r="AR65" s="105">
        <f t="shared" si="30"/>
        <v>-7692307.6923076995</v>
      </c>
      <c r="AS65" s="199">
        <f>MAX(B1_Berechnungen!B65-E1_Projektdaten!$D$23,0)</f>
        <v>19</v>
      </c>
      <c r="AT65" s="49">
        <f>AT64-B1_Berechnungen!I65</f>
        <v>0</v>
      </c>
      <c r="AU65" s="49">
        <f t="shared" si="31"/>
        <v>0</v>
      </c>
      <c r="AV65" s="49">
        <f>IF((SUM(H$44:H65)-SUM(I$44:I65))&lt;=AU65,MAX((SUM(H$44:H65)-SUM(I$44:I65)),0),AU65)</f>
        <v>0</v>
      </c>
      <c r="AW65" s="49">
        <f t="shared" si="15"/>
        <v>961538.4615384615</v>
      </c>
      <c r="AX65" s="49">
        <f t="shared" si="37"/>
        <v>7692307.6923076995</v>
      </c>
      <c r="AY65" s="49">
        <f t="shared" si="32"/>
        <v>0</v>
      </c>
      <c r="AZ65" s="49">
        <f>IF((SUM(H$44:H65)-SUM(I$44:I65)-AV65)&lt;=AY65,MAX((SUM(H$44:H65)-SUM(I$44:I65)-AV65),0),AY65)</f>
        <v>0</v>
      </c>
      <c r="BA65" s="49">
        <f t="shared" si="16"/>
        <v>0</v>
      </c>
      <c r="BB65" s="49">
        <f t="shared" si="38"/>
        <v>0</v>
      </c>
      <c r="BC65" s="106">
        <f t="shared" si="17"/>
        <v>10784346.009690177</v>
      </c>
      <c r="BD65" s="106">
        <f t="shared" si="18"/>
        <v>1743433.5911368984</v>
      </c>
    </row>
    <row r="66" spans="2:56" ht="12.95" customHeight="1" x14ac:dyDescent="0.2">
      <c r="B66" s="94">
        <f t="shared" si="33"/>
        <v>2046</v>
      </c>
      <c r="C66" s="95" cm="1">
        <f t="array" ref="C66">(SUMPRODUCT((E3_Verbraucher!$D$21:$XFD$21&lt;B1_Berechnungen!B66)*E3_Verbraucher!$D$18:$XFD$18)+SUMPRODUCT((E3_Verbraucher!$D$21:$XFD$21=B1_Berechnungen!B66)*E3_Verbraucher!$D$18:$XFD$18*E3_Verbraucher!$D$20:$XFD$20))/(100-Eing_Netzverluste)*100*(1-Eing_AbnW/100)^(B1_Berechnungen!B66-Eing_Beginnjahr)</f>
        <v>15589.93356522435</v>
      </c>
      <c r="D66" s="96">
        <f t="shared" si="19"/>
        <v>108.72822472838372</v>
      </c>
      <c r="E66" s="98"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+Gesamtinvestition*SUMPRODUCT((E1_Projektdaten!$D$83:$D$87=B66)*E1_Projektdaten!$F$83:$F$87)/100</f>
        <v>11286757.869518695</v>
      </c>
      <c r="F66" s="182">
        <f t="shared" si="3"/>
        <v>0</v>
      </c>
      <c r="G66" s="182" cm="1">
        <f t="array" ref="G66">-SUMPRODUCT((E3_Verbraucher!$D$21:$XFD$21=B1_Berechnungen!B66)*E3_Verbraucher!$D$23:$XFD$23)</f>
        <v>0</v>
      </c>
      <c r="H66" s="98">
        <f t="shared" si="20"/>
        <v>11286757.869518695</v>
      </c>
      <c r="I66" s="182">
        <f t="shared" si="34"/>
        <v>0</v>
      </c>
      <c r="J66" s="103">
        <f t="shared" si="21"/>
        <v>0</v>
      </c>
      <c r="K66" s="103">
        <f t="shared" si="35"/>
        <v>-6104945.4516666951</v>
      </c>
      <c r="L66" s="98">
        <f t="shared" si="22"/>
        <v>19235598.664127272</v>
      </c>
      <c r="M66" s="269">
        <f>IF(ISNUMBER(IRR((BD$44:BD65,BC66))),IRR((BD$44:BD65,BC66)),"-")</f>
        <v>-3.5073659937622126E-2</v>
      </c>
      <c r="N66" s="97" cm="1">
        <f t="array" ref="N66">SUM((SUMPRODUCT((E3_Verbraucher!$D$21:$XFD$21&lt;B1_Berechnungen!B66)*E3_Verbraucher!$D$26:$XFD$26)+SUMPRODUCT((E3_Verbraucher!$D$21:$XFD$21=B1_Berechnungen!B66)*E3_Verbraucher!$D$26:$XFD$26*E3_Verbraucher!$D$20:$XFD$20))*(1+$G$30)^(B66-B$44),(SUMPRODUCT((E3_Verbraucher!$D$21:$XFD$21&lt;B1_Berechnungen!B66)*E3_Verbraucher!$D$27:$XFD$27)+SUMPRODUCT((E3_Verbraucher!$D$21:$XFD$21=B1_Berechnungen!B66)*E3_Verbraucher!$D$27:$XFD$27*E3_Verbraucher!$D$20:$XFD$20))*((1+$G$30)*(1-E1_Projektdaten!$D$20/100))^(B66-B$44))</f>
        <v>4480216.599690469</v>
      </c>
      <c r="O66" s="103">
        <f t="shared" si="4"/>
        <v>690722.31198728224</v>
      </c>
      <c r="P66" s="103">
        <f t="shared" si="5"/>
        <v>649611.57946551137</v>
      </c>
      <c r="Q66" s="182">
        <f t="shared" si="6"/>
        <v>0</v>
      </c>
      <c r="R66" s="99"/>
      <c r="S66" s="102"/>
      <c r="T66" s="101">
        <f t="shared" si="7"/>
        <v>5820550.4911432629</v>
      </c>
      <c r="U66" s="97">
        <f>Energiekosten_Holzschnitzel*D66/100*((1+$G$16)^(B66-$B$44))</f>
        <v>640366.23951623309</v>
      </c>
      <c r="V66" s="103">
        <f>Energiekosten_WKK*D66/100*((1+$G$17)^(B66-$B$44))</f>
        <v>800457.79939529137</v>
      </c>
      <c r="W66" s="103">
        <f t="shared" si="8"/>
        <v>0</v>
      </c>
      <c r="X66" s="103">
        <f t="shared" si="9"/>
        <v>0</v>
      </c>
      <c r="Y66" s="98">
        <f t="shared" si="10"/>
        <v>273953.47145079484</v>
      </c>
      <c r="Z66" s="103">
        <f t="shared" si="11"/>
        <v>0</v>
      </c>
      <c r="AA66" s="98">
        <f t="shared" si="12"/>
        <v>19405.037561097968</v>
      </c>
      <c r="AB66" s="98">
        <f>($F$22*(1+$G$22)^(B66-B$44)+$F$23*(1+$G$23)^(B66-B$44))*(B66&gt;=Eing_JahrBegWLief)*VLOOKUP(B66,E1_Projektdaten!$D$83:$I$87,6)/100</f>
        <v>297238.14730852004</v>
      </c>
      <c r="AC66" s="98">
        <f>$F$24*(1+$G$24)^(B66-B$44)*(B66&gt;=Eing_JahrBegWLief)*VLOOKUP(B66,E1_Projektdaten!$D$83:$I$87,6)/100</f>
        <v>551409.12586965819</v>
      </c>
      <c r="AD66" s="98">
        <f t="shared" si="13"/>
        <v>286284.64774271194</v>
      </c>
      <c r="AE66" s="99"/>
      <c r="AF66" s="100"/>
      <c r="AG66" s="95">
        <f t="shared" si="14"/>
        <v>201923.07692307711</v>
      </c>
      <c r="AH66" s="101">
        <f t="shared" si="23"/>
        <v>3071037.5457673841</v>
      </c>
      <c r="AI66" s="97">
        <f t="shared" si="24"/>
        <v>961538.4615384615</v>
      </c>
      <c r="AJ66" s="103">
        <f t="shared" si="25"/>
        <v>4032576.0073058456</v>
      </c>
      <c r="AK66" s="98">
        <f t="shared" si="26"/>
        <v>1787974.4838374173</v>
      </c>
      <c r="AL66" s="104">
        <f t="shared" si="27"/>
        <v>19235598.664127272</v>
      </c>
      <c r="AM66" s="98">
        <f>(E1_Projektdaten!$D$68*(1+Eing_allg_Teuerung/100)^(E1_Projektdaten!$I$68*ROUNDDOWN((AS66-1)/E1_Projektdaten!$I$68,0))/E1_Projektdaten!$I$68
+E1_Projektdaten!$D$69*(1+Eing_allg_Teuerung/100)^(E1_Projektdaten!$I$69*ROUNDDOWN((AS66-1)/E1_Projektdaten!$I$69,0))/E1_Projektdaten!$I$69
+E1_Projektdaten!$D$70*(1+Eing_allg_Teuerung/100)^(E1_Projektdaten!$I$70*ROUNDDOWN((AS66-1)/E1_Projektdaten!$I$69,0))/E1_Projektdaten!$I$70
+E1_Projektdaten!$D$71*(1+Eing_allg_Teuerung/100)^(E1_Projektdaten!$I$71*ROUNDDOWN((AS66-1)/E1_Projektdaten!$I$69,0))/E1_Projektdaten!$I$71
+E1_Projektdaten!$D$72*(1+Eing_allg_Teuerung/100)^(E1_Projektdaten!$I$72*ROUNDDOWN((AS66-1)/E1_Projektdaten!$I$69,0))/E1_Projektdaten!$I$72
+E1_Projektdaten!$D$74*(1+Eing_allg_Teuerung/100)^(E1_Projektdaten!$I$74*ROUNDDOWN((AS66-1)/E1_Projektdaten!$I$69,0))/E1_Projektdaten!$I$74
+E1_Projektdaten!$D$75*(1+Eing_allg_Teuerung/100)^(E1_Projektdaten!$I$75*ROUNDDOWN((AS66-1)/E1_Projektdaten!$I$75,0))/E1_Projektdaten!$I$75
+E1_Projektdaten!$D$76*(1+Eing_allg_Teuerung/100)^(E1_Projektdaten!$I$76*ROUNDDOWN((AS66-1)/E1_Projektdaten!$I$76,0))/E1_Projektdaten!$I$76
+E1_Projektdaten!$D$77*(1+Eing_allg_Teuerung/100)^(E1_Projektdaten!$I$77*ROUNDDOWN((AS66-1)/E1_Projektdaten!$I$77,0))/E1_Projektdaten!$I$77
+E1_Projektdaten!$D$78*(1+Eing_allg_Teuerung/100)^(E1_Projektdaten!$I$78*ROUNDDOWN((AS66-1)/E1_Projektdaten!$I$78,0))/E1_Projektdaten!$I$78
+E1_Projektdaten!$D$80*(1+Eing_allg_Teuerung/100)^(E1_Projektdaten!$I$80*ROUNDDOWN((AS66-1)/E1_Projektdaten!$I$69,0))/E1_Projektdaten!$I$80
)*((AS66)&gt;0)*VLOOKUP(B66,E1_Projektdaten!$D$83:$I$87,6
)/100</f>
        <v>1165150.6708285636</v>
      </c>
      <c r="AN66" s="266">
        <f t="shared" si="28"/>
        <v>4236188.2165959477</v>
      </c>
      <c r="AO66" s="266">
        <f t="shared" si="29"/>
        <v>1584362.2745473152</v>
      </c>
      <c r="AP66" s="269">
        <f t="shared" si="36"/>
        <v>17266203.598934766</v>
      </c>
      <c r="AQ66" s="198"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+(Gesamtinvestition-SUM(E1_Projektdaten!$D$79:$D$80))*SUMPRODUCT((E1_Projektdaten!$D$83:$D$87=B66)*E1_Projektdaten!$F$83:$F$87)/100-AM66
+AQ65</f>
        <v>7875761.7477247138</v>
      </c>
      <c r="AR66" s="105">
        <f t="shared" si="30"/>
        <v>-6730769.2307692375</v>
      </c>
      <c r="AS66" s="199">
        <f>MAX(B1_Berechnungen!B66-E1_Projektdaten!$D$23,0)</f>
        <v>20</v>
      </c>
      <c r="AT66" s="49">
        <f>AT65-B1_Berechnungen!I66</f>
        <v>0</v>
      </c>
      <c r="AU66" s="49">
        <f t="shared" si="31"/>
        <v>0</v>
      </c>
      <c r="AV66" s="49">
        <f>IF((SUM(H$44:H66)-SUM(I$44:I66))&lt;=AU66,MAX((SUM(H$44:H66)-SUM(I$44:I66)),0),AU66)</f>
        <v>0</v>
      </c>
      <c r="AW66" s="49">
        <f t="shared" si="15"/>
        <v>961538.4615384615</v>
      </c>
      <c r="AX66" s="49">
        <f t="shared" si="37"/>
        <v>6730769.2307692375</v>
      </c>
      <c r="AY66" s="49">
        <f t="shared" si="32"/>
        <v>0</v>
      </c>
      <c r="AZ66" s="49">
        <f>IF((SUM(H$44:H66)-SUM(I$44:I66)-AV66)&lt;=AY66,MAX((SUM(H$44:H66)-SUM(I$44:I66)-AV66),0),AY66)</f>
        <v>0</v>
      </c>
      <c r="BA66" s="49">
        <f t="shared" si="16"/>
        <v>0</v>
      </c>
      <c r="BB66" s="49">
        <f t="shared" si="38"/>
        <v>0</v>
      </c>
      <c r="BC66" s="106">
        <f t="shared" si="17"/>
        <v>-1623021.6379565652</v>
      </c>
      <c r="BD66" s="106">
        <f t="shared" si="18"/>
        <v>-9498783.385681279</v>
      </c>
    </row>
    <row r="67" spans="2:56" ht="12.95" customHeight="1" x14ac:dyDescent="0.2">
      <c r="B67" s="94">
        <f t="shared" si="33"/>
        <v>2047</v>
      </c>
      <c r="C67" s="95" cm="1">
        <f t="array" ref="C67">(SUMPRODUCT((E3_Verbraucher!$D$21:$XFD$21&lt;B1_Berechnungen!B67)*E3_Verbraucher!$D$18:$XFD$18)+SUMPRODUCT((E3_Verbraucher!$D$21:$XFD$21=B1_Berechnungen!B67)*E3_Verbraucher!$D$18:$XFD$18*E3_Verbraucher!$D$20:$XFD$20))/(100-Eing_Netzverluste)*100*(1-Eing_AbnW/100)^(B1_Berechnungen!B67-Eing_Beginnjahr)</f>
        <v>15434.034229572109</v>
      </c>
      <c r="D67" s="96">
        <f t="shared" si="19"/>
        <v>107.64094248109993</v>
      </c>
      <c r="E67" s="98"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+Gesamtinvestition*SUMPRODUCT((E1_Projektdaten!$D$83:$D$87=B67)*E1_Projektdaten!$F$83:$F$87)/100</f>
        <v>0</v>
      </c>
      <c r="F67" s="182">
        <f t="shared" si="3"/>
        <v>0</v>
      </c>
      <c r="G67" s="182" cm="1">
        <f t="array" ref="G67">-SUMPRODUCT((E3_Verbraucher!$D$21:$XFD$21=B1_Berechnungen!B67)*E3_Verbraucher!$D$23:$XFD$23)</f>
        <v>0</v>
      </c>
      <c r="H67" s="98">
        <f t="shared" si="20"/>
        <v>0</v>
      </c>
      <c r="I67" s="182">
        <f t="shared" si="34"/>
        <v>0</v>
      </c>
      <c r="J67" s="103">
        <f t="shared" si="21"/>
        <v>0</v>
      </c>
      <c r="K67" s="103">
        <f t="shared" si="35"/>
        <v>-6104945.4516666951</v>
      </c>
      <c r="L67" s="98">
        <f t="shared" si="22"/>
        <v>21068272.354321145</v>
      </c>
      <c r="M67" s="269">
        <f>IF(ISNUMBER(IRR((BD$44:BD66,BC67))),IRR((BD$44:BD66,BC67)),"-")</f>
        <v>-4.0241317462053061E-4</v>
      </c>
      <c r="N67" s="97" cm="1">
        <f t="array" ref="N67">SUM((SUMPRODUCT((E3_Verbraucher!$D$21:$XFD$21&lt;B1_Berechnungen!B67)*E3_Verbraucher!$D$26:$XFD$26)+SUMPRODUCT((E3_Verbraucher!$D$21:$XFD$21=B1_Berechnungen!B67)*E3_Verbraucher!$D$26:$XFD$26*E3_Verbraucher!$D$20:$XFD$20))*(1+$G$30)^(B67-B$44),(SUMPRODUCT((E3_Verbraucher!$D$21:$XFD$21&lt;B1_Berechnungen!B67)*E3_Verbraucher!$D$27:$XFD$27)+SUMPRODUCT((E3_Verbraucher!$D$21:$XFD$21=B1_Berechnungen!B67)*E3_Verbraucher!$D$27:$XFD$27*E3_Verbraucher!$D$20:$XFD$20))*((1+$G$30)*(1-E1_Projektdaten!$D$20/100))^(B67-B$44))</f>
        <v>4507379.5865443349</v>
      </c>
      <c r="O67" s="103">
        <f t="shared" si="4"/>
        <v>690653.23975608358</v>
      </c>
      <c r="P67" s="103">
        <f t="shared" si="5"/>
        <v>649546.61830756487</v>
      </c>
      <c r="Q67" s="182">
        <f t="shared" si="6"/>
        <v>0</v>
      </c>
      <c r="R67" s="99"/>
      <c r="S67" s="102"/>
      <c r="T67" s="101">
        <f t="shared" si="7"/>
        <v>5847579.4446079824</v>
      </c>
      <c r="U67" s="97">
        <f>Energiekosten_Holzschnitzel*D67/100*((1+$G$16)^(B67-$B$44))</f>
        <v>640302.2028922817</v>
      </c>
      <c r="V67" s="103">
        <f>Energiekosten_WKK*D67/100*((1+$G$17)^(B67-$B$44))</f>
        <v>800377.75361535186</v>
      </c>
      <c r="W67" s="103">
        <f t="shared" si="8"/>
        <v>0</v>
      </c>
      <c r="X67" s="103">
        <f t="shared" si="9"/>
        <v>0</v>
      </c>
      <c r="Y67" s="98">
        <f t="shared" si="10"/>
        <v>273926.0761036498</v>
      </c>
      <c r="Z67" s="103">
        <f t="shared" si="11"/>
        <v>0</v>
      </c>
      <c r="AA67" s="98">
        <f t="shared" si="12"/>
        <v>19403.09705734186</v>
      </c>
      <c r="AB67" s="98">
        <f>($F$22*(1+$G$22)^(B67-B$44)+$F$23*(1+$G$23)^(B67-B$44))*(B67&gt;=Eing_JahrBegWLief)*VLOOKUP(B67,E1_Projektdaten!$D$83:$I$87,6)/100</f>
        <v>300210.52878160519</v>
      </c>
      <c r="AC67" s="98">
        <f>$F$24*(1+$G$24)^(B67-B$44)*(B67&gt;=Eing_JahrBegWLief)*VLOOKUP(B67,E1_Projektdaten!$D$83:$I$87,6)/100</f>
        <v>556923.21712835471</v>
      </c>
      <c r="AD67" s="98">
        <f t="shared" si="13"/>
        <v>289147.49422013899</v>
      </c>
      <c r="AE67" s="99"/>
      <c r="AF67" s="100"/>
      <c r="AG67" s="95">
        <f t="shared" si="14"/>
        <v>173076.92307692327</v>
      </c>
      <c r="AH67" s="101">
        <f t="shared" si="23"/>
        <v>3053367.2928756475</v>
      </c>
      <c r="AI67" s="97">
        <f t="shared" si="24"/>
        <v>961538.4615384615</v>
      </c>
      <c r="AJ67" s="103">
        <f t="shared" si="25"/>
        <v>4014905.754414109</v>
      </c>
      <c r="AK67" s="98">
        <f t="shared" si="26"/>
        <v>1832673.6901938734</v>
      </c>
      <c r="AL67" s="104">
        <f t="shared" si="27"/>
        <v>21068272.354321145</v>
      </c>
      <c r="AM67" s="98">
        <f>(E1_Projektdaten!$D$68*(1+Eing_allg_Teuerung/100)^(E1_Projektdaten!$I$68*ROUNDDOWN((AS67-1)/E1_Projektdaten!$I$68,0))/E1_Projektdaten!$I$68
+E1_Projektdaten!$D$69*(1+Eing_allg_Teuerung/100)^(E1_Projektdaten!$I$69*ROUNDDOWN((AS67-1)/E1_Projektdaten!$I$69,0))/E1_Projektdaten!$I$69
+E1_Projektdaten!$D$70*(1+Eing_allg_Teuerung/100)^(E1_Projektdaten!$I$70*ROUNDDOWN((AS67-1)/E1_Projektdaten!$I$69,0))/E1_Projektdaten!$I$70
+E1_Projektdaten!$D$71*(1+Eing_allg_Teuerung/100)^(E1_Projektdaten!$I$71*ROUNDDOWN((AS67-1)/E1_Projektdaten!$I$69,0))/E1_Projektdaten!$I$71
+E1_Projektdaten!$D$72*(1+Eing_allg_Teuerung/100)^(E1_Projektdaten!$I$72*ROUNDDOWN((AS67-1)/E1_Projektdaten!$I$69,0))/E1_Projektdaten!$I$72
+E1_Projektdaten!$D$74*(1+Eing_allg_Teuerung/100)^(E1_Projektdaten!$I$74*ROUNDDOWN((AS67-1)/E1_Projektdaten!$I$69,0))/E1_Projektdaten!$I$74
+E1_Projektdaten!$D$75*(1+Eing_allg_Teuerung/100)^(E1_Projektdaten!$I$75*ROUNDDOWN((AS67-1)/E1_Projektdaten!$I$75,0))/E1_Projektdaten!$I$75
+E1_Projektdaten!$D$76*(1+Eing_allg_Teuerung/100)^(E1_Projektdaten!$I$76*ROUNDDOWN((AS67-1)/E1_Projektdaten!$I$76,0))/E1_Projektdaten!$I$76
+E1_Projektdaten!$D$77*(1+Eing_allg_Teuerung/100)^(E1_Projektdaten!$I$77*ROUNDDOWN((AS67-1)/E1_Projektdaten!$I$77,0))/E1_Projektdaten!$I$77
+E1_Projektdaten!$D$78*(1+Eing_allg_Teuerung/100)^(E1_Projektdaten!$I$78*ROUNDDOWN((AS67-1)/E1_Projektdaten!$I$78,0))/E1_Projektdaten!$I$78
+E1_Projektdaten!$D$80*(1+Eing_allg_Teuerung/100)^(E1_Projektdaten!$I$80*ROUNDDOWN((AS67-1)/E1_Projektdaten!$I$69,0))/E1_Projektdaten!$I$80
)*((AS67)&gt;0)*VLOOKUP(B67,E1_Projektdaten!$D$83:$I$87,6
)/100</f>
        <v>1338386.035709094</v>
      </c>
      <c r="AN67" s="266">
        <f t="shared" si="28"/>
        <v>4391753.3285847418</v>
      </c>
      <c r="AO67" s="266">
        <f t="shared" si="29"/>
        <v>1455826.1160232406</v>
      </c>
      <c r="AP67" s="269">
        <f t="shared" si="36"/>
        <v>18722029.714958005</v>
      </c>
      <c r="AQ67" s="198"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+(Gesamtinvestition-SUM(E1_Projektdaten!$D$79:$D$80))*SUMPRODUCT((E1_Projektdaten!$D$83:$D$87=B67)*E1_Projektdaten!$F$83:$F$87)/100-AM67
+AQ66</f>
        <v>17824133.581534315</v>
      </c>
      <c r="AR67" s="105">
        <f t="shared" si="30"/>
        <v>-5769230.7692307755</v>
      </c>
      <c r="AS67" s="199">
        <f>MAX(B1_Berechnungen!B67-E1_Projektdaten!$D$23,0)</f>
        <v>21</v>
      </c>
      <c r="AT67" s="49">
        <f>AT66-B1_Berechnungen!I67</f>
        <v>0</v>
      </c>
      <c r="AU67" s="49">
        <f t="shared" si="31"/>
        <v>0</v>
      </c>
      <c r="AV67" s="49">
        <f>IF((SUM(H$44:H67)-SUM(I$44:I67))&lt;=AU67,MAX((SUM(H$44:H67)-SUM(I$44:I67)),0),AU67)</f>
        <v>0</v>
      </c>
      <c r="AW67" s="49">
        <f t="shared" si="15"/>
        <v>961538.4615384615</v>
      </c>
      <c r="AX67" s="49">
        <f t="shared" si="37"/>
        <v>5769230.7692307755</v>
      </c>
      <c r="AY67" s="49">
        <f t="shared" si="32"/>
        <v>0</v>
      </c>
      <c r="AZ67" s="49">
        <f>IF((SUM(H$44:H67)-SUM(I$44:I67)-AV67)&lt;=AY67,MAX((SUM(H$44:H67)-SUM(I$44:I67)-AV67),0),AY67)</f>
        <v>0</v>
      </c>
      <c r="BA67" s="49">
        <f t="shared" si="16"/>
        <v>0</v>
      </c>
      <c r="BB67" s="49">
        <f t="shared" si="38"/>
        <v>0</v>
      </c>
      <c r="BC67" s="106">
        <f t="shared" si="17"/>
        <v>19656807.271728188</v>
      </c>
      <c r="BD67" s="106">
        <f t="shared" si="18"/>
        <v>1832673.6901938734</v>
      </c>
    </row>
    <row r="68" spans="2:56" ht="12.75" customHeight="1" x14ac:dyDescent="0.2">
      <c r="B68" s="107">
        <f t="shared" si="33"/>
        <v>2048</v>
      </c>
      <c r="C68" s="202" cm="1">
        <f t="array" ref="C68">(SUMPRODUCT((E3_Verbraucher!$D$21:$XFD$21&lt;B1_Berechnungen!B68)*E3_Verbraucher!$D$18:$XFD$18)+SUMPRODUCT((E3_Verbraucher!$D$21:$XFD$21=B1_Berechnungen!B68)*E3_Verbraucher!$D$18:$XFD$18*E3_Verbraucher!$D$20:$XFD$20))/(100-Eing_Netzverluste)*100*(1-Eing_AbnW/100)^(B1_Berechnungen!B68-Eing_Beginnjahr)</f>
        <v>15279.693887276386</v>
      </c>
      <c r="D68" s="109">
        <f t="shared" si="19"/>
        <v>106.56453305628889</v>
      </c>
      <c r="E68" s="108"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+Gesamtinvestition*SUMPRODUCT((E1_Projektdaten!$D$83:$D$87=B68)*E1_Projektdaten!$F$83:$F$87)/100</f>
        <v>0</v>
      </c>
      <c r="F68" s="203">
        <f t="shared" si="3"/>
        <v>0</v>
      </c>
      <c r="G68" s="203" cm="1">
        <f t="array" ref="G68">-SUMPRODUCT((E3_Verbraucher!$D$21:$XFD$21=B1_Berechnungen!B68)*E3_Verbraucher!$D$23:$XFD$23)</f>
        <v>0</v>
      </c>
      <c r="H68" s="108">
        <f t="shared" si="20"/>
        <v>0</v>
      </c>
      <c r="I68" s="203">
        <f t="shared" si="34"/>
        <v>0</v>
      </c>
      <c r="J68" s="204">
        <f t="shared" si="21"/>
        <v>0</v>
      </c>
      <c r="K68" s="204">
        <f t="shared" si="35"/>
        <v>-6104945.4516666951</v>
      </c>
      <c r="L68" s="108">
        <f t="shared" si="22"/>
        <v>22945805.147527352</v>
      </c>
      <c r="M68" s="270">
        <f>IF(ISNUMBER(IRR((BD$44:BD67,BC68))),IRR((BD$44:BD67,BC68)),"-")</f>
        <v>5.9057781091897965E-4</v>
      </c>
      <c r="N68" s="110">
        <f>SUM((SUMPRODUCT((E3_Verbraucher!$D$21:$XFD$21&lt;B1_Berechnungen!B68)*E3_Verbraucher!$D$26:$XFD$26)+SUMPRODUCT((E3_Verbraucher!$D$21:$XFD$21=B1_Berechnungen!B68)*E3_Verbraucher!$D$26:$XFD$26*E3_Verbraucher!$D$20:$XFD$20))*(1+$G$30)^(B68-B$44),(SUMPRODUCT((E3_Verbraucher!$D$21:$XFD$21&lt;B1_Berechnungen!B68)*E3_Verbraucher!$D$27:$XFD$27)+SUMPRODUCT((E3_Verbraucher!$D$21:$XFD$21=B1_Berechnungen!B68)*E3_Verbraucher!$D$27:$XFD$27*E3_Verbraucher!$D$20:$XFD$20))*((1+$G$30)*(1-E1_Projektdaten!$D$20/100))^(B68-B$44))</f>
        <v>4534815.9671846554</v>
      </c>
      <c r="O68" s="204">
        <f t="shared" si="4"/>
        <v>690584.17443210783</v>
      </c>
      <c r="P68" s="204">
        <f t="shared" si="5"/>
        <v>649481.66364573408</v>
      </c>
      <c r="Q68" s="203">
        <f t="shared" si="6"/>
        <v>0</v>
      </c>
      <c r="R68" s="111"/>
      <c r="S68" s="114"/>
      <c r="T68" s="113">
        <f t="shared" si="7"/>
        <v>5874881.8052624976</v>
      </c>
      <c r="U68" s="110">
        <f>Energiekosten_Holzschnitzel*D68/100*((1+$G$16)^(B68-$B$44))</f>
        <v>640238.17267199233</v>
      </c>
      <c r="V68" s="204">
        <f>Energiekosten_WKK*D68/100*((1+$G$17)^(B68-$B$44))</f>
        <v>800297.7158399903</v>
      </c>
      <c r="W68" s="204">
        <f t="shared" si="8"/>
        <v>0</v>
      </c>
      <c r="X68" s="204">
        <f t="shared" si="9"/>
        <v>0</v>
      </c>
      <c r="Y68" s="108">
        <f t="shared" si="10"/>
        <v>273898.68349603942</v>
      </c>
      <c r="Z68" s="204">
        <f t="shared" si="11"/>
        <v>0</v>
      </c>
      <c r="AA68" s="108">
        <f t="shared" si="12"/>
        <v>19401.156747636123</v>
      </c>
      <c r="AB68" s="108">
        <f>($F$22*(1+$G$22)^(B68-B$44)+$F$23*(1+$G$23)^(B68-B$44))*(B68&gt;=Eing_JahrBegWLief)*VLOOKUP(B68,E1_Projektdaten!$D$83:$I$87,6)/100</f>
        <v>303212.63406942133</v>
      </c>
      <c r="AC68" s="108">
        <f>$F$24*(1+$G$24)^(B68-B$44)*(B68&gt;=Eing_JahrBegWLief)*VLOOKUP(B68,E1_Projektdaten!$D$83:$I$87,6)/100</f>
        <v>562492.44929963839</v>
      </c>
      <c r="AD68" s="108">
        <f t="shared" si="13"/>
        <v>292038.96916234045</v>
      </c>
      <c r="AE68" s="111"/>
      <c r="AF68" s="112"/>
      <c r="AG68" s="108">
        <f t="shared" si="14"/>
        <v>144230.76923076939</v>
      </c>
      <c r="AH68" s="113">
        <f t="shared" si="23"/>
        <v>3035810.5505178277</v>
      </c>
      <c r="AI68" s="110">
        <f t="shared" si="24"/>
        <v>961538.4615384615</v>
      </c>
      <c r="AJ68" s="204">
        <f t="shared" si="25"/>
        <v>3997349.0120562892</v>
      </c>
      <c r="AK68" s="108">
        <f t="shared" si="26"/>
        <v>1877532.7932062084</v>
      </c>
      <c r="AL68" s="205">
        <f t="shared" si="27"/>
        <v>22945805.147527352</v>
      </c>
      <c r="AM68" s="108">
        <f>(E1_Projektdaten!$D$68*(1+Eing_allg_Teuerung/100)^(E1_Projektdaten!$I$68*ROUNDDOWN((AS68-1)/E1_Projektdaten!$I$68,0))/E1_Projektdaten!$I$68
+E1_Projektdaten!$D$69*(1+Eing_allg_Teuerung/100)^(E1_Projektdaten!$I$69*ROUNDDOWN((AS68-1)/E1_Projektdaten!$I$69,0))/E1_Projektdaten!$I$69
+E1_Projektdaten!$D$70*(1+Eing_allg_Teuerung/100)^(E1_Projektdaten!$I$70*ROUNDDOWN((AS68-1)/E1_Projektdaten!$I$69,0))/E1_Projektdaten!$I$70
+E1_Projektdaten!$D$71*(1+Eing_allg_Teuerung/100)^(E1_Projektdaten!$I$71*ROUNDDOWN((AS68-1)/E1_Projektdaten!$I$69,0))/E1_Projektdaten!$I$71
+E1_Projektdaten!$D$72*(1+Eing_allg_Teuerung/100)^(E1_Projektdaten!$I$72*ROUNDDOWN((AS68-1)/E1_Projektdaten!$I$69,0))/E1_Projektdaten!$I$72
+E1_Projektdaten!$D$74*(1+Eing_allg_Teuerung/100)^(E1_Projektdaten!$I$74*ROUNDDOWN((AS68-1)/E1_Projektdaten!$I$69,0))/E1_Projektdaten!$I$74
+E1_Projektdaten!$D$75*(1+Eing_allg_Teuerung/100)^(E1_Projektdaten!$I$75*ROUNDDOWN((AS68-1)/E1_Projektdaten!$I$75,0))/E1_Projektdaten!$I$75
+E1_Projektdaten!$D$76*(1+Eing_allg_Teuerung/100)^(E1_Projektdaten!$I$76*ROUNDDOWN((AS68-1)/E1_Projektdaten!$I$76,0))/E1_Projektdaten!$I$76
+E1_Projektdaten!$D$77*(1+Eing_allg_Teuerung/100)^(E1_Projektdaten!$I$77*ROUNDDOWN((AS68-1)/E1_Projektdaten!$I$77,0))/E1_Projektdaten!$I$77
+E1_Projektdaten!$D$78*(1+Eing_allg_Teuerung/100)^(E1_Projektdaten!$I$78*ROUNDDOWN((AS68-1)/E1_Projektdaten!$I$78,0))/E1_Projektdaten!$I$78
+E1_Projektdaten!$D$80*(1+Eing_allg_Teuerung/100)^(E1_Projektdaten!$I$80*ROUNDDOWN((AS68-1)/E1_Projektdaten!$I$69,0))/E1_Projektdaten!$I$80
)*((AS68)&gt;0)*VLOOKUP(B68,E1_Projektdaten!$D$83:$I$87,6
)/100</f>
        <v>1338386.035709094</v>
      </c>
      <c r="AN68" s="267">
        <f t="shared" si="28"/>
        <v>4374196.5862269215</v>
      </c>
      <c r="AO68" s="267">
        <f t="shared" si="29"/>
        <v>1500685.2190355761</v>
      </c>
      <c r="AP68" s="270">
        <f t="shared" si="36"/>
        <v>20222714.933993582</v>
      </c>
      <c r="AQ68" s="198"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+(Gesamtinvestition-SUM(E1_Projektdaten!$D$79:$D$80))*SUMPRODUCT((E1_Projektdaten!$D$83:$D$87=B68)*E1_Projektdaten!$F$83:$F$87)/100-AM68
+AQ67</f>
        <v>16485747.545825221</v>
      </c>
      <c r="AR68" s="200">
        <f t="shared" si="30"/>
        <v>-4807692.3076923136</v>
      </c>
      <c r="AS68" s="201">
        <f>MAX(B1_Berechnungen!B68-E1_Projektdaten!$D$23,0)</f>
        <v>22</v>
      </c>
      <c r="AT68" s="49">
        <f>AT67-B1_Berechnungen!I68</f>
        <v>0</v>
      </c>
      <c r="AU68" s="49">
        <f t="shared" si="31"/>
        <v>0</v>
      </c>
      <c r="AV68" s="49">
        <f>IF((SUM(H$44:H68)-SUM(I$44:I68))&lt;=AU68,MAX((SUM(H$44:H68)-SUM(I$44:I68)),0),AU68)</f>
        <v>0</v>
      </c>
      <c r="AW68" s="49">
        <f t="shared" si="15"/>
        <v>961538.4615384615</v>
      </c>
      <c r="AX68" s="49">
        <f t="shared" si="37"/>
        <v>4807692.3076923136</v>
      </c>
      <c r="AY68" s="49">
        <f t="shared" si="32"/>
        <v>0</v>
      </c>
      <c r="AZ68" s="49">
        <f>IF((SUM(H$44:H68)-SUM(I$44:I68)-AV68)&lt;=AY68,MAX((SUM(H$44:H68)-SUM(I$44:I68)-AV68),0),AY68)</f>
        <v>0</v>
      </c>
      <c r="BA68" s="49">
        <f t="shared" si="16"/>
        <v>0</v>
      </c>
      <c r="BB68" s="49">
        <f t="shared" si="38"/>
        <v>0</v>
      </c>
      <c r="BC68" s="106">
        <f t="shared" si="17"/>
        <v>18363280.339031428</v>
      </c>
      <c r="BD68" s="106">
        <f t="shared" si="18"/>
        <v>1877532.7932062084</v>
      </c>
    </row>
  </sheetData>
  <sheetProtection algorithmName="SHA-512" hashValue="Y8mEe9jrjjKlIAREmsAbjGcowVjHWDrSluS+VlqWyV4PLNMovUfQXQzzlOnqDvGsZ1JrYGAhl1DSxNVc8IoE9A==" saltValue="sOX0ENgIDGZCW+Q+0bqNkA==" spinCount="100000" sheet="1" objects="1" scenarios="1"/>
  <mergeCells count="21">
    <mergeCell ref="C33:E33"/>
    <mergeCell ref="C34:E34"/>
    <mergeCell ref="C22:E22"/>
    <mergeCell ref="C23:E23"/>
    <mergeCell ref="C24:E24"/>
    <mergeCell ref="C25:E25"/>
    <mergeCell ref="C26:E26"/>
    <mergeCell ref="D10:I10"/>
    <mergeCell ref="D12:I12"/>
    <mergeCell ref="C16:E16"/>
    <mergeCell ref="C20:E20"/>
    <mergeCell ref="C21:E21"/>
    <mergeCell ref="B15:E15"/>
    <mergeCell ref="C18:E18"/>
    <mergeCell ref="C19:E19"/>
    <mergeCell ref="C17:E17"/>
    <mergeCell ref="D7:I7"/>
    <mergeCell ref="D6:I6"/>
    <mergeCell ref="D8:I8"/>
    <mergeCell ref="D3:I3"/>
    <mergeCell ref="D4:I4"/>
  </mergeCells>
  <phoneticPr fontId="10"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26" location="I1_510l" display="l" xr:uid="{00000000-0004-0000-0400-000010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19" location="I1_510e" display="e" xr:uid="{D4816C2A-C669-48B1-99BD-0257A76814C5}"/>
    <hyperlink ref="A20" location="I1_510f" display="f" xr:uid="{E6E09A95-BDC2-4169-928A-4A63BB2E8AF6}"/>
    <hyperlink ref="A21" location="I1_510g" display="g" xr:uid="{C5100D2C-89A4-46CA-8951-F545B600E026}"/>
    <hyperlink ref="A22" location="I1_510h" display="h" xr:uid="{8FD29B96-9A5A-42AF-B68C-0601E5F8A264}"/>
    <hyperlink ref="A23" location="I1_510i" display="i" xr:uid="{0B140005-E6C9-43E2-857C-78345108E75D}"/>
    <hyperlink ref="A24" location="I1_510j" display="j" xr:uid="{9554A3E0-9A6A-4211-B373-48A58BEC5134}"/>
    <hyperlink ref="A25" location="I1_510k" display="k" xr:uid="{2A55574F-419B-46EA-A48B-D8EE63FE99E7}"/>
    <hyperlink ref="A17" location="I1_510c" display="c" xr:uid="{11780446-D280-41B4-B9FD-46C1E3093385}"/>
    <hyperlink ref="A18" location="I1_510d" display="d" xr:uid="{77C69B6F-9D00-4570-9339-C47DAC208A00}"/>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22" id="{783E5689-64BF-43FF-B7E9-DF1B5E7F1D83}">
            <xm:f>SUM(E3_Verbraucher!$D$23:$IZ$23)+SUM($G$44:$G$68)=0</xm:f>
            <x14:dxf>
              <font>
                <b val="0"/>
                <i val="0"/>
                <strike val="0"/>
                <color auto="1"/>
              </font>
              <fill>
                <patternFill>
                  <bgColor rgb="FF92D050"/>
                </patternFill>
              </fill>
            </x14:dxf>
          </x14:cfRule>
          <xm:sqref>G41</xm:sqref>
        </x14:conditionalFormatting>
        <x14:conditionalFormatting xmlns:xm="http://schemas.microsoft.com/office/excel/2006/main">
          <x14:cfRule type="expression" priority="5" id="{0E4FD182-3BAF-45CA-9112-408DC0174442}">
            <xm:f>SUM($I$44:$I$68)&lt;=E1_Projektdaten!$D$89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45" customWidth="1"/>
    <col min="2" max="2" width="15.7109375" style="1" customWidth="1"/>
    <col min="3" max="3" width="25.7109375" style="2" customWidth="1"/>
    <col min="4" max="5" width="10.7109375" style="2" customWidth="1"/>
    <col min="6" max="6" width="12.7109375" style="11" customWidth="1"/>
    <col min="7" max="7" width="8.7109375" style="11" customWidth="1"/>
    <col min="8" max="8" width="20.7109375" style="1" customWidth="1"/>
    <col min="9" max="9" width="22.7109375" style="2" customWidth="1"/>
    <col min="10" max="11" width="10.7109375" style="2" customWidth="1"/>
    <col min="12" max="13" width="10.7109375" style="11" customWidth="1"/>
    <col min="14" max="14" width="3.85546875" style="1" customWidth="1"/>
    <col min="15" max="15" width="11.42578125" style="11" hidden="1" customWidth="1"/>
    <col min="16" max="16384" width="10.85546875" style="11" hidden="1"/>
  </cols>
  <sheetData>
    <row r="1" spans="1:17" ht="18" x14ac:dyDescent="0.25">
      <c r="A1" s="214">
        <v>600</v>
      </c>
      <c r="B1" s="180" t="s">
        <v>179</v>
      </c>
      <c r="H1" s="180" t="s">
        <v>179</v>
      </c>
      <c r="N1" s="5"/>
    </row>
    <row r="2" spans="1:17" ht="12.95" customHeight="1" x14ac:dyDescent="0.2">
      <c r="B2" s="5"/>
      <c r="H2" s="5"/>
      <c r="I2" s="39"/>
      <c r="J2" s="40"/>
      <c r="K2" s="40"/>
      <c r="L2" s="41"/>
      <c r="N2" s="11"/>
    </row>
    <row r="3" spans="1:17" ht="12.95" customHeight="1" x14ac:dyDescent="0.2">
      <c r="A3" s="214" t="s">
        <v>398</v>
      </c>
      <c r="C3" s="42" t="s">
        <v>4</v>
      </c>
      <c r="H3" s="5" t="s">
        <v>182</v>
      </c>
      <c r="I3" s="43"/>
      <c r="J3" s="40">
        <f>D34</f>
        <v>2026</v>
      </c>
      <c r="K3" s="40">
        <f>E34</f>
        <v>2035</v>
      </c>
      <c r="L3" s="41" t="str">
        <f>"bis "&amp;B1_Berechnungen!B68</f>
        <v>bis 2048</v>
      </c>
      <c r="N3" s="243">
        <v>650</v>
      </c>
    </row>
    <row r="4" spans="1:17" ht="12.95" customHeight="1" x14ac:dyDescent="0.2">
      <c r="A4" s="214" t="s">
        <v>414</v>
      </c>
      <c r="B4" s="1" t="s">
        <v>68</v>
      </c>
      <c r="G4" s="1"/>
      <c r="H4" s="5"/>
      <c r="I4" s="43" t="s">
        <v>185</v>
      </c>
      <c r="J4" s="44">
        <f>_xlfn.XLOOKUP(J$3,B1_Berechnungen!$B$44:$B$68,B1_Berechnungen!$D$44:$D$68)/100</f>
        <v>0.29381131271059185</v>
      </c>
      <c r="K4" s="44">
        <f>_xlfn.XLOOKUP(K$3,B1_Berechnungen!$B$44:$B$68,B1_Berechnungen!$D$44:$D$68)/100</f>
        <v>1.1966892982683981</v>
      </c>
      <c r="L4" s="41"/>
      <c r="N4" s="243">
        <v>533</v>
      </c>
      <c r="O4" s="1"/>
      <c r="P4" s="1"/>
      <c r="Q4" s="1"/>
    </row>
    <row r="5" spans="1:17" s="1" customFormat="1" ht="12.95" customHeight="1" x14ac:dyDescent="0.2">
      <c r="A5" s="45"/>
      <c r="B5" s="5"/>
      <c r="C5" s="2"/>
      <c r="D5" s="2"/>
      <c r="E5" s="2"/>
      <c r="I5" s="45" t="s">
        <v>183</v>
      </c>
      <c r="J5" s="6">
        <f>_xlfn.XLOOKUP(J$3,B1_Berechnungen!$B$44:$B$68,B1_Berechnungen!$C$44:$C$68)*(100-Eing_Netzverluste)/100</f>
        <v>3791.5168499999995</v>
      </c>
      <c r="K5" s="6">
        <f>_xlfn.XLOOKUP(K$3,B1_Berechnungen!$B$44:$B$68,B1_Berechnungen!$C$44:$C$68)*(100-Eing_Netzverluste)/100</f>
        <v>15442.794209454341</v>
      </c>
      <c r="L5" s="46">
        <f>SUM(B1_Berechnungen!C44:C68)*((100-Eing_Netzverluste))/100</f>
        <v>322614.94758497394</v>
      </c>
      <c r="M5" s="11" t="s">
        <v>13</v>
      </c>
      <c r="N5" s="243">
        <v>532</v>
      </c>
      <c r="O5" s="4"/>
    </row>
    <row r="6" spans="1:17" s="1" customFormat="1" ht="12.95" customHeight="1" x14ac:dyDescent="0.2">
      <c r="A6" s="214">
        <v>106</v>
      </c>
      <c r="B6" s="5" t="s">
        <v>43</v>
      </c>
      <c r="C6" s="5" t="str">
        <f>IF(E1_Projektdaten!C8=0,"",E1_Projektdaten!C8)</f>
        <v>QMH Beispielprojekt 3</v>
      </c>
      <c r="D6" s="5"/>
      <c r="E6" s="5"/>
      <c r="F6" s="3"/>
      <c r="L6" s="11"/>
      <c r="M6" s="11"/>
      <c r="O6" s="4"/>
    </row>
    <row r="7" spans="1:17" s="1" customFormat="1" ht="12.95" customHeight="1" x14ac:dyDescent="0.2">
      <c r="A7" s="45"/>
      <c r="B7" s="5"/>
      <c r="C7" s="5" t="str">
        <f>IF(E1_Projektdaten!C9=0,"",E1_Projektdaten!C9)</f>
        <v>Wärmeverbund Holz-WKK</v>
      </c>
      <c r="D7" s="5"/>
      <c r="E7" s="5"/>
      <c r="F7" s="3"/>
      <c r="H7" s="5" t="s">
        <v>188</v>
      </c>
      <c r="J7" s="47"/>
      <c r="K7" s="48"/>
      <c r="L7" s="11"/>
      <c r="M7" s="11"/>
      <c r="N7" s="243">
        <v>655</v>
      </c>
      <c r="O7" s="4"/>
    </row>
    <row r="8" spans="1:17" s="1" customFormat="1" ht="12.95" customHeight="1" x14ac:dyDescent="0.2">
      <c r="A8" s="45"/>
      <c r="B8" s="5"/>
      <c r="C8" s="5" t="str">
        <f>IF(E1_Projektdaten!C10=0,"",E1_Projektdaten!C10)</f>
        <v/>
      </c>
      <c r="D8" s="5"/>
      <c r="E8" s="5"/>
      <c r="F8" s="3"/>
      <c r="I8" s="45"/>
      <c r="J8" s="49"/>
      <c r="K8" s="49"/>
      <c r="L8" s="50"/>
      <c r="M8" s="50"/>
      <c r="O8" s="4"/>
    </row>
    <row r="9" spans="1:17" s="1" customFormat="1" ht="12.95" customHeight="1" x14ac:dyDescent="0.2">
      <c r="A9" s="45"/>
      <c r="B9" s="5"/>
      <c r="C9" s="5"/>
      <c r="D9" s="5"/>
      <c r="E9" s="5"/>
      <c r="F9" s="3"/>
      <c r="L9" s="11"/>
      <c r="M9" s="11"/>
      <c r="O9" s="4"/>
    </row>
    <row r="10" spans="1:17" s="1" customFormat="1" ht="12.95" customHeight="1" x14ac:dyDescent="0.2">
      <c r="A10" s="214">
        <v>107</v>
      </c>
      <c r="B10" s="5" t="s">
        <v>44</v>
      </c>
      <c r="C10" s="5" t="str">
        <f>IF(E1_Projektdaten!C12=0,"",E1_Projektdaten!C12)</f>
        <v>Datum, Erfasser:in</v>
      </c>
      <c r="D10" s="5"/>
      <c r="E10" s="5"/>
      <c r="F10" s="3"/>
      <c r="L10" s="11"/>
      <c r="M10" s="11"/>
    </row>
    <row r="11" spans="1:17" s="1" customFormat="1" ht="12.95" customHeight="1" x14ac:dyDescent="0.2">
      <c r="A11" s="45"/>
      <c r="G11" s="5"/>
      <c r="L11" s="11"/>
      <c r="M11" s="11"/>
      <c r="O11" s="5"/>
      <c r="P11" s="5"/>
      <c r="Q11" s="8"/>
    </row>
    <row r="12" spans="1:17" s="5" customFormat="1" ht="12.95" customHeight="1" x14ac:dyDescent="0.2">
      <c r="A12" s="241">
        <v>501</v>
      </c>
      <c r="B12" s="51" t="s">
        <v>6</v>
      </c>
      <c r="C12" s="354" t="str">
        <f>IF(E1_Projektdaten!C14&lt;&gt;"",E1_Projektdaten!Y15,"")</f>
        <v>Es existieren Warnungen im Register 'E1_Projektdaten'!</v>
      </c>
      <c r="D12" s="354"/>
      <c r="E12" s="354"/>
      <c r="F12" s="354"/>
      <c r="G12" s="354"/>
      <c r="H12" s="1"/>
      <c r="I12" s="1"/>
      <c r="J12" s="1"/>
      <c r="K12" s="1"/>
      <c r="L12" s="11"/>
      <c r="M12" s="11"/>
      <c r="N12" s="1"/>
      <c r="O12" s="11"/>
      <c r="P12" s="11"/>
      <c r="Q12" s="11"/>
    </row>
    <row r="13" spans="1:17" ht="6" customHeight="1" x14ac:dyDescent="0.2">
      <c r="A13" s="220"/>
      <c r="B13" s="5"/>
      <c r="C13" s="8"/>
      <c r="D13" s="5"/>
      <c r="E13" s="1"/>
      <c r="I13" s="1"/>
      <c r="J13" s="1"/>
      <c r="K13" s="1"/>
    </row>
    <row r="14" spans="1:17" ht="12.95" customHeight="1" x14ac:dyDescent="0.2">
      <c r="A14" s="214">
        <v>110</v>
      </c>
      <c r="B14" s="5" t="s">
        <v>135</v>
      </c>
      <c r="C14" s="1"/>
      <c r="D14" s="1"/>
      <c r="E14" s="1"/>
      <c r="I14" s="1"/>
      <c r="J14" s="1"/>
      <c r="K14" s="1"/>
    </row>
    <row r="15" spans="1:17" ht="12.95" customHeight="1" x14ac:dyDescent="0.2">
      <c r="A15" s="214" t="s">
        <v>62</v>
      </c>
      <c r="C15" s="45" t="s">
        <v>93</v>
      </c>
      <c r="D15" s="6">
        <f>max_verkaufteWM</f>
        <v>17503</v>
      </c>
      <c r="E15" s="1" t="s">
        <v>13</v>
      </c>
      <c r="I15" s="1"/>
      <c r="J15" s="1"/>
      <c r="K15" s="1"/>
    </row>
    <row r="16" spans="1:17" ht="12.95" customHeight="1" x14ac:dyDescent="0.2">
      <c r="A16" s="214" t="s">
        <v>394</v>
      </c>
      <c r="C16" s="45" t="s">
        <v>94</v>
      </c>
      <c r="D16" s="6">
        <f>Eing_Netzverluste</f>
        <v>10</v>
      </c>
      <c r="E16" s="1" t="s">
        <v>12</v>
      </c>
      <c r="I16" s="1"/>
      <c r="J16" s="1"/>
      <c r="K16" s="1"/>
    </row>
    <row r="17" spans="1:14" ht="12.95" customHeight="1" x14ac:dyDescent="0.2">
      <c r="C17" s="1"/>
      <c r="D17" s="1"/>
      <c r="E17" s="1"/>
      <c r="I17" s="1"/>
      <c r="J17" s="1"/>
      <c r="K17" s="1"/>
    </row>
    <row r="18" spans="1:14" ht="12.95" customHeight="1" x14ac:dyDescent="0.2">
      <c r="A18" s="214" t="s">
        <v>403</v>
      </c>
      <c r="C18" s="45" t="s">
        <v>26</v>
      </c>
      <c r="D18" s="49">
        <f>Eing_Beginnjahr</f>
        <v>2024</v>
      </c>
      <c r="E18" s="1"/>
      <c r="I18" s="1"/>
      <c r="J18" s="1"/>
      <c r="K18" s="1"/>
    </row>
    <row r="19" spans="1:14" ht="12.95" customHeight="1" x14ac:dyDescent="0.2">
      <c r="A19" s="214" t="s">
        <v>404</v>
      </c>
      <c r="C19" s="45" t="s">
        <v>106</v>
      </c>
      <c r="D19" s="49">
        <f>E1_Projektdaten!D23</f>
        <v>2026</v>
      </c>
      <c r="E19" s="1"/>
      <c r="I19" s="1"/>
      <c r="J19" s="1"/>
      <c r="K19" s="1"/>
    </row>
    <row r="20" spans="1:14" ht="6" customHeight="1" x14ac:dyDescent="0.2">
      <c r="A20" s="210"/>
      <c r="C20" s="45"/>
      <c r="D20" s="49"/>
      <c r="E20" s="1"/>
      <c r="F20" s="52"/>
      <c r="I20" s="1"/>
      <c r="J20" s="1"/>
      <c r="K20" s="1"/>
    </row>
    <row r="21" spans="1:14" ht="12.95" customHeight="1" x14ac:dyDescent="0.2">
      <c r="A21" s="214">
        <v>610</v>
      </c>
      <c r="B21" s="5" t="s">
        <v>19</v>
      </c>
      <c r="C21" s="45"/>
      <c r="D21" s="1"/>
      <c r="E21" s="1"/>
      <c r="F21" s="53"/>
      <c r="G21" s="41"/>
      <c r="I21" s="1"/>
      <c r="J21" s="40">
        <f>D34</f>
        <v>2026</v>
      </c>
      <c r="K21" s="40">
        <f>E34</f>
        <v>2035</v>
      </c>
      <c r="L21" s="54">
        <f>B1_Berechnungen!B68</f>
        <v>2048</v>
      </c>
      <c r="N21" s="53"/>
    </row>
    <row r="22" spans="1:14" ht="12.95" customHeight="1" x14ac:dyDescent="0.2">
      <c r="A22" s="214" t="s">
        <v>437</v>
      </c>
      <c r="C22" s="43" t="s">
        <v>71</v>
      </c>
      <c r="D22" s="6">
        <f>Eing_Kosten_Bau</f>
        <v>5000000</v>
      </c>
      <c r="E22" s="1" t="s">
        <v>39</v>
      </c>
      <c r="F22" s="46"/>
      <c r="H22" s="5"/>
      <c r="I22" s="45"/>
      <c r="J22" s="263" t="s">
        <v>123</v>
      </c>
      <c r="K22" s="263" t="s">
        <v>123</v>
      </c>
      <c r="L22" s="263" t="s">
        <v>123</v>
      </c>
      <c r="M22" s="6"/>
      <c r="N22" s="263"/>
    </row>
    <row r="23" spans="1:14" ht="12.95" customHeight="1" x14ac:dyDescent="0.2">
      <c r="A23" s="214">
        <v>612</v>
      </c>
      <c r="C23" s="43" t="s">
        <v>438</v>
      </c>
      <c r="D23" s="6">
        <f>SUM(E1_Projektdaten!D69:D76)</f>
        <v>9250000</v>
      </c>
      <c r="E23" s="1" t="s">
        <v>39</v>
      </c>
      <c r="F23" s="46"/>
      <c r="H23" s="5" t="s">
        <v>101</v>
      </c>
      <c r="I23" s="45" t="s">
        <v>172</v>
      </c>
      <c r="J23" s="6">
        <f>_xlfn.XLOOKUP(J$21,B1_Berechnungen!$B$44:$B$68,B1_Berechnungen!$AR$44:$AR$68)</f>
        <v>-28000000</v>
      </c>
      <c r="K23" s="6">
        <f>_xlfn.XLOOKUP(K$21,B1_Berechnungen!$B$44:$B$68,B1_Berechnungen!$AR$44:$AR$68)</f>
        <v>-17307692.307692319</v>
      </c>
      <c r="L23" s="6">
        <f>_xlfn.XLOOKUP(L$21,B1_Berechnungen!$B$44:$B$68,B1_Berechnungen!$AR$44:$AR$68)</f>
        <v>-4807692.3076923136</v>
      </c>
      <c r="M23" s="6"/>
      <c r="N23" s="243">
        <v>592</v>
      </c>
    </row>
    <row r="24" spans="1:14" ht="12.95" customHeight="1" x14ac:dyDescent="0.2">
      <c r="A24" s="214" t="s">
        <v>441</v>
      </c>
      <c r="C24" s="43" t="s">
        <v>63</v>
      </c>
      <c r="D24" s="6">
        <f>E1_Projektdaten!D77</f>
        <v>16000000</v>
      </c>
      <c r="E24" s="1" t="s">
        <v>39</v>
      </c>
      <c r="F24" s="46"/>
      <c r="H24" s="5"/>
      <c r="I24" s="45" t="s">
        <v>184</v>
      </c>
      <c r="J24" s="6">
        <f>_xlfn.XLOOKUP(J$21,B1_Berechnungen!$B$44:$B$68,B1_Berechnungen!$AQ$44:$AQ$68)</f>
        <v>27585000</v>
      </c>
      <c r="K24" s="6">
        <f>_xlfn.XLOOKUP(K$21,B1_Berechnungen!$B$44:$B$68,B1_Berechnungen!$AQ$44:$AQ$68)</f>
        <v>20202276.511831716</v>
      </c>
      <c r="L24" s="6">
        <f>_xlfn.XLOOKUP(L$21,B1_Berechnungen!$B$44:$B$68,B1_Berechnungen!$AQ$44:$AQ$68)</f>
        <v>16485747.545825221</v>
      </c>
      <c r="M24" s="6"/>
      <c r="N24" s="243">
        <v>591</v>
      </c>
    </row>
    <row r="25" spans="1:14" ht="12.95" customHeight="1" x14ac:dyDescent="0.2">
      <c r="A25" s="214">
        <v>613</v>
      </c>
      <c r="C25" s="43" t="s">
        <v>439</v>
      </c>
      <c r="D25" s="6">
        <f>SUM(E1_Projektdaten!D78:D79)</f>
        <v>2400000</v>
      </c>
      <c r="E25" s="1" t="s">
        <v>39</v>
      </c>
      <c r="F25" s="46"/>
      <c r="I25" s="1"/>
      <c r="J25" s="1"/>
      <c r="K25" s="1"/>
    </row>
    <row r="26" spans="1:14" ht="12.95" customHeight="1" x14ac:dyDescent="0.2">
      <c r="A26" s="214" t="s">
        <v>440</v>
      </c>
      <c r="C26" s="43" t="s">
        <v>147</v>
      </c>
      <c r="D26" s="6">
        <f>Eing_Kosten_Planung_QM</f>
        <v>6000000</v>
      </c>
      <c r="E26" s="1" t="s">
        <v>39</v>
      </c>
      <c r="F26" s="46"/>
      <c r="N26" s="243">
        <v>506</v>
      </c>
    </row>
    <row r="27" spans="1:14" ht="12.95" customHeight="1" x14ac:dyDescent="0.2">
      <c r="A27" s="214">
        <v>145</v>
      </c>
      <c r="B27" s="5"/>
      <c r="C27" s="39" t="s">
        <v>25</v>
      </c>
      <c r="D27" s="56">
        <f>Gesamtinvestition</f>
        <v>38650000</v>
      </c>
      <c r="E27" s="5" t="s">
        <v>39</v>
      </c>
      <c r="F27" s="57"/>
      <c r="G27" s="36"/>
      <c r="N27" s="38"/>
    </row>
    <row r="28" spans="1:14" ht="12.95" customHeight="1" x14ac:dyDescent="0.2">
      <c r="A28" s="214">
        <v>615</v>
      </c>
      <c r="B28" s="5" t="s">
        <v>365</v>
      </c>
      <c r="C28" s="43"/>
      <c r="D28" s="1"/>
      <c r="E28" s="1"/>
    </row>
    <row r="29" spans="1:14" ht="12.95" customHeight="1" x14ac:dyDescent="0.2">
      <c r="A29" s="214">
        <v>155</v>
      </c>
      <c r="B29" s="5"/>
      <c r="C29" s="43" t="s">
        <v>333</v>
      </c>
      <c r="D29" s="6">
        <f>Eing_Eigenkapital</f>
        <v>5000000</v>
      </c>
      <c r="E29" s="1" t="s">
        <v>39</v>
      </c>
    </row>
    <row r="30" spans="1:14" ht="12.95" customHeight="1" x14ac:dyDescent="0.2">
      <c r="A30" s="214">
        <v>160</v>
      </c>
      <c r="C30" s="43" t="s">
        <v>256</v>
      </c>
      <c r="D30" s="6">
        <f>B1_Berechnungen!F37</f>
        <v>28000000</v>
      </c>
      <c r="E30" s="1" t="s">
        <v>39</v>
      </c>
    </row>
    <row r="31" spans="1:14" ht="12.95" customHeight="1" x14ac:dyDescent="0.2">
      <c r="A31" s="214">
        <v>165</v>
      </c>
      <c r="C31" s="45" t="s">
        <v>222</v>
      </c>
      <c r="D31" s="6">
        <f>B1_Berechnungen!F34</f>
        <v>3000000</v>
      </c>
      <c r="E31" s="1" t="s">
        <v>39</v>
      </c>
    </row>
    <row r="32" spans="1:14" ht="12.95" customHeight="1" x14ac:dyDescent="0.2">
      <c r="A32" s="214">
        <v>543</v>
      </c>
      <c r="C32" s="45" t="s">
        <v>442</v>
      </c>
      <c r="D32" s="6">
        <f>B1_Berechnungen!F35</f>
        <v>-8296200</v>
      </c>
      <c r="E32" s="1" t="s">
        <v>39</v>
      </c>
      <c r="F32" s="58"/>
      <c r="G32" s="59"/>
    </row>
    <row r="33" spans="1:14" ht="6" customHeight="1" x14ac:dyDescent="0.2">
      <c r="A33" s="220"/>
      <c r="C33" s="43"/>
      <c r="D33" s="6"/>
      <c r="E33" s="1"/>
      <c r="H33" s="5"/>
      <c r="I33" s="1"/>
      <c r="J33" s="47"/>
      <c r="K33" s="48"/>
      <c r="N33" s="38"/>
    </row>
    <row r="34" spans="1:14" ht="12.95" customHeight="1" x14ac:dyDescent="0.2">
      <c r="A34" s="214">
        <v>620</v>
      </c>
      <c r="B34" s="5" t="s">
        <v>258</v>
      </c>
      <c r="C34" s="39"/>
      <c r="D34" s="40">
        <f>D19</f>
        <v>2026</v>
      </c>
      <c r="E34" s="60">
        <v>2035</v>
      </c>
      <c r="F34" s="41" t="str">
        <f>"bis "&amp;B1_Berechnungen!B68</f>
        <v>bis 2048</v>
      </c>
      <c r="H34" s="5"/>
      <c r="I34" s="1"/>
      <c r="J34" s="47"/>
      <c r="K34" s="48"/>
      <c r="N34" s="38"/>
    </row>
    <row r="35" spans="1:14" ht="12.95" customHeight="1" x14ac:dyDescent="0.2">
      <c r="A35" s="210"/>
      <c r="B35" s="5"/>
      <c r="C35" s="39"/>
      <c r="D35" s="61" t="s">
        <v>119</v>
      </c>
      <c r="E35" s="61" t="s">
        <v>119</v>
      </c>
      <c r="F35" s="58" t="s">
        <v>123</v>
      </c>
      <c r="H35" s="5"/>
      <c r="I35" s="1"/>
      <c r="J35" s="47"/>
      <c r="K35" s="48"/>
      <c r="N35" s="38"/>
    </row>
    <row r="36" spans="1:14" ht="12.95" customHeight="1" x14ac:dyDescent="0.2">
      <c r="A36" s="214">
        <v>621</v>
      </c>
      <c r="B36" s="5" t="s">
        <v>99</v>
      </c>
      <c r="C36" s="45" t="s">
        <v>126</v>
      </c>
      <c r="D36" s="6">
        <f>SUM(_xlfn.XLOOKUP(D34,B1_Berechnungen!$B$44:$B$68,B1_Berechnungen!$U$44:$U$68):_xlfn.XLOOKUP(D34,B1_Berechnungen!$B$44:$B$68,B1_Berechnungen!$AA$44:$AA$68))</f>
        <v>384055.11372857419</v>
      </c>
      <c r="E36" s="6">
        <f>SUM(_xlfn.XLOOKUP(E34,B1_Berechnungen!$B$44:$B$68,B1_Berechnungen!$U$44:$U$68):_xlfn.XLOOKUP(E34,B1_Berechnungen!$B$44:$B$68,B1_Berechnungen!$AA$44:$AA$68))</f>
        <v>1710798.299443817</v>
      </c>
      <c r="F36" s="6">
        <f>SUM(B1_Berechnungen!U44:AA68)</f>
        <v>36692841.124474831</v>
      </c>
      <c r="G36" s="1"/>
      <c r="H36" s="5"/>
      <c r="I36" s="1"/>
      <c r="J36" s="47"/>
      <c r="K36" s="48"/>
      <c r="N36" s="38"/>
    </row>
    <row r="37" spans="1:14" ht="12.95" customHeight="1" x14ac:dyDescent="0.2">
      <c r="A37" s="214">
        <v>622</v>
      </c>
      <c r="C37" s="45" t="s">
        <v>257</v>
      </c>
      <c r="D37" s="6">
        <f>SUM(_xlfn.XLOOKUP(D34,B1_Berechnungen!$B$44:$B$68,B1_Berechnungen!$AB$44:$AB$68):_xlfn.XLOOKUP(D34,B1_Berechnungen!$B$44:$B$68,B1_Berechnungen!$AE$44:$AE$68))</f>
        <v>860576.76199999999</v>
      </c>
      <c r="E37" s="6">
        <f>SUM(_xlfn.XLOOKUP(E34,B1_Berechnungen!$B$44:$B$68,B1_Berechnungen!$AB$44:$AB$68):_xlfn.XLOOKUP(E34,B1_Berechnungen!$B$44:$B$68,B1_Berechnungen!$AE$44:$AE$68))</f>
        <v>1017266.3984894357</v>
      </c>
      <c r="F37" s="6">
        <f>SUM(B1_Berechnungen!AB44:AE68)</f>
        <v>24312180.887671363</v>
      </c>
      <c r="G37" s="1"/>
      <c r="I37" s="45"/>
      <c r="J37" s="49"/>
      <c r="K37" s="49"/>
      <c r="N37" s="38"/>
    </row>
    <row r="38" spans="1:14" ht="12.95" customHeight="1" x14ac:dyDescent="0.2">
      <c r="A38" s="214">
        <v>623</v>
      </c>
      <c r="C38" s="45" t="s">
        <v>443</v>
      </c>
      <c r="D38" s="6">
        <f>_xlfn.XLOOKUP(D34,B1_Berechnungen!$B$44:$B$68,B1_Berechnungen!$AG$44:$AG$68)</f>
        <v>900000</v>
      </c>
      <c r="E38" s="6">
        <f>_xlfn.XLOOKUP(E34,B1_Berechnungen!$B$44:$B$68,B1_Berechnungen!$AG$44:$AG$68)</f>
        <v>519230.7692307696</v>
      </c>
      <c r="F38" s="6">
        <f>SUM(B1_Berechnungen!AG44:AG68)</f>
        <v>11555088.461538464</v>
      </c>
      <c r="G38" s="1"/>
    </row>
    <row r="39" spans="1:14" ht="12.95" customHeight="1" x14ac:dyDescent="0.2">
      <c r="A39" s="214">
        <v>624</v>
      </c>
      <c r="B39" s="5"/>
      <c r="C39" s="39" t="s">
        <v>180</v>
      </c>
      <c r="D39" s="56">
        <f t="shared" ref="D39:F39" si="0">SUM(D36:D38)</f>
        <v>2144631.8757285741</v>
      </c>
      <c r="E39" s="56">
        <f t="shared" si="0"/>
        <v>3247295.4671640224</v>
      </c>
      <c r="F39" s="56">
        <f t="shared" si="0"/>
        <v>72560110.473684654</v>
      </c>
      <c r="G39" s="56"/>
      <c r="H39" s="5"/>
      <c r="I39" s="1"/>
      <c r="J39" s="47"/>
      <c r="K39" s="62"/>
      <c r="N39" s="38"/>
    </row>
    <row r="40" spans="1:14" ht="12.95" customHeight="1" x14ac:dyDescent="0.2">
      <c r="A40" s="214">
        <v>625</v>
      </c>
      <c r="B40" s="5" t="s">
        <v>100</v>
      </c>
      <c r="C40" s="45" t="s">
        <v>444</v>
      </c>
      <c r="D40" s="6">
        <f>SUM(_xlfn.XLOOKUP(D$34,B1_Berechnungen!$B$44:$B$68,B1_Berechnungen!$N$44:$N$68):_xlfn.XLOOKUP(D$34,B1_Berechnungen!$B$44:$B$68,B1_Berechnungen!$P$44:$P$68))</f>
        <v>1178325.7794596076</v>
      </c>
      <c r="E40" s="6">
        <f>SUM(_xlfn.XLOOKUP(E$34,B1_Berechnungen!$B$44:$B$68,B1_Berechnungen!$N$44:$N$68):_xlfn.XLOOKUP(E$34,B1_Berechnungen!$B$44:$B$68,B1_Berechnungen!$P$44:$P$68))</f>
        <v>5459520.5944675645</v>
      </c>
      <c r="F40" s="6">
        <f>SUM(B1_Berechnungen!N44:P68)</f>
        <v>118698223.31351969</v>
      </c>
      <c r="G40" s="1"/>
      <c r="I40" s="45"/>
      <c r="J40" s="49"/>
      <c r="K40" s="49"/>
      <c r="N40" s="38"/>
    </row>
    <row r="41" spans="1:14" ht="12.95" customHeight="1" x14ac:dyDescent="0.2">
      <c r="A41" s="214">
        <v>626</v>
      </c>
      <c r="C41" s="45" t="s">
        <v>445</v>
      </c>
      <c r="D41" s="6">
        <f>SUM(_xlfn.XLOOKUP(D$34,B1_Berechnungen!$B$44:$B$68,B1_Berechnungen!$Q$44:$Q$68):_xlfn.XLOOKUP(D$34,B1_Berechnungen!$B$44:$B$68,B1_Berechnungen!$S$44:$S$68))</f>
        <v>0</v>
      </c>
      <c r="E41" s="6">
        <f>SUM(_xlfn.XLOOKUP(E$34,B1_Berechnungen!$B$44:$B$68,B1_Berechnungen!$Q$44:$Q$68):_xlfn.XLOOKUP(E$34,B1_Berechnungen!$B$44:$B$68,B1_Berechnungen!$S$44:$S$68))</f>
        <v>0</v>
      </c>
      <c r="F41" s="6">
        <f>SUM(B1_Berechnungen!Q44:S68)</f>
        <v>0</v>
      </c>
      <c r="G41" s="1"/>
      <c r="I41" s="45"/>
      <c r="J41" s="49"/>
      <c r="K41" s="49"/>
      <c r="N41" s="38"/>
    </row>
    <row r="42" spans="1:14" ht="12.95" customHeight="1" x14ac:dyDescent="0.2">
      <c r="A42" s="214">
        <v>627</v>
      </c>
      <c r="B42" s="5"/>
      <c r="C42" s="63" t="s">
        <v>181</v>
      </c>
      <c r="D42" s="56">
        <f>SUM(D40:D41)</f>
        <v>1178325.7794596076</v>
      </c>
      <c r="E42" s="56">
        <f>SUM(E40:E41)</f>
        <v>5459520.5944675645</v>
      </c>
      <c r="F42" s="56">
        <f>SUM(F40:F41)</f>
        <v>118698223.31351969</v>
      </c>
      <c r="G42" s="56"/>
      <c r="H42" s="5" t="s">
        <v>189</v>
      </c>
      <c r="N42" s="243">
        <v>690</v>
      </c>
    </row>
    <row r="43" spans="1:14" ht="6" customHeight="1" x14ac:dyDescent="0.2">
      <c r="A43" s="210"/>
      <c r="B43" s="5"/>
      <c r="C43" s="63"/>
      <c r="D43" s="56"/>
      <c r="E43" s="56"/>
      <c r="F43" s="56"/>
      <c r="G43" s="56"/>
      <c r="I43" s="45"/>
      <c r="J43" s="49"/>
      <c r="K43" s="49"/>
    </row>
    <row r="44" spans="1:14" ht="12.95" customHeight="1" x14ac:dyDescent="0.2">
      <c r="A44" s="214">
        <v>505</v>
      </c>
      <c r="B44" s="5"/>
      <c r="C44" s="45"/>
      <c r="D44" s="6"/>
      <c r="E44" s="6"/>
      <c r="F44" s="6"/>
      <c r="G44" s="6"/>
      <c r="H44" s="355"/>
      <c r="I44" s="355"/>
      <c r="J44" s="355"/>
      <c r="K44" s="355"/>
      <c r="L44" s="355"/>
      <c r="M44" s="355"/>
    </row>
    <row r="45" spans="1:14" ht="12.95" customHeight="1" x14ac:dyDescent="0.2">
      <c r="B45" s="5"/>
      <c r="C45" s="45"/>
      <c r="D45" s="6"/>
      <c r="E45" s="6"/>
      <c r="F45" s="6"/>
      <c r="G45" s="6"/>
      <c r="H45" s="355"/>
      <c r="I45" s="355"/>
      <c r="J45" s="355"/>
      <c r="K45" s="355"/>
      <c r="L45" s="355"/>
      <c r="M45" s="355"/>
    </row>
    <row r="46" spans="1:14" ht="12.95" customHeight="1" x14ac:dyDescent="0.2">
      <c r="B46" s="5"/>
      <c r="C46" s="45"/>
      <c r="D46" s="55"/>
      <c r="E46" s="55"/>
      <c r="F46" s="55"/>
      <c r="G46" s="6"/>
      <c r="H46" s="355"/>
      <c r="I46" s="355"/>
      <c r="J46" s="355"/>
      <c r="K46" s="355"/>
      <c r="L46" s="355"/>
      <c r="M46" s="355"/>
    </row>
    <row r="47" spans="1:14" ht="12.95" customHeight="1" x14ac:dyDescent="0.2">
      <c r="B47" s="5"/>
      <c r="C47" s="63"/>
      <c r="D47" s="56"/>
      <c r="E47" s="56"/>
      <c r="F47" s="56"/>
      <c r="G47" s="56"/>
      <c r="H47" s="355"/>
      <c r="I47" s="355"/>
      <c r="J47" s="355"/>
      <c r="K47" s="355"/>
      <c r="L47" s="355"/>
      <c r="M47" s="355"/>
    </row>
    <row r="48" spans="1:14" ht="12.95" customHeight="1" x14ac:dyDescent="0.2">
      <c r="C48" s="1"/>
      <c r="D48" s="1"/>
      <c r="E48" s="1"/>
      <c r="H48" s="355"/>
      <c r="I48" s="355"/>
      <c r="J48" s="355"/>
      <c r="K48" s="355"/>
      <c r="L48" s="355"/>
      <c r="M48" s="355"/>
    </row>
    <row r="49" spans="3:13" x14ac:dyDescent="0.2">
      <c r="C49" s="1"/>
      <c r="D49" s="1"/>
      <c r="E49" s="1"/>
      <c r="H49" s="355"/>
      <c r="I49" s="355"/>
      <c r="J49" s="355"/>
      <c r="K49" s="355"/>
      <c r="L49" s="355"/>
      <c r="M49" s="355"/>
    </row>
    <row r="50" spans="3:13" x14ac:dyDescent="0.2">
      <c r="C50" s="1"/>
      <c r="D50" s="1"/>
      <c r="E50" s="1"/>
      <c r="H50" s="355"/>
      <c r="I50" s="355"/>
      <c r="J50" s="355"/>
      <c r="K50" s="355"/>
      <c r="L50" s="355"/>
      <c r="M50" s="355"/>
    </row>
    <row r="51" spans="3:13" x14ac:dyDescent="0.2">
      <c r="C51" s="1"/>
      <c r="D51" s="1"/>
      <c r="E51" s="1"/>
      <c r="H51" s="355"/>
      <c r="I51" s="355"/>
      <c r="J51" s="355"/>
      <c r="K51" s="355"/>
      <c r="L51" s="355"/>
      <c r="M51" s="355"/>
    </row>
    <row r="52" spans="3:13" x14ac:dyDescent="0.2">
      <c r="C52" s="1"/>
      <c r="D52" s="1"/>
      <c r="E52" s="1"/>
      <c r="H52" s="355"/>
      <c r="I52" s="355"/>
      <c r="J52" s="355"/>
      <c r="K52" s="355"/>
      <c r="L52" s="355"/>
      <c r="M52" s="355"/>
    </row>
    <row r="53" spans="3:13" x14ac:dyDescent="0.2">
      <c r="C53" s="1"/>
      <c r="D53" s="1"/>
      <c r="E53" s="1"/>
      <c r="H53" s="355"/>
      <c r="I53" s="355"/>
      <c r="J53" s="355"/>
      <c r="K53" s="355"/>
      <c r="L53" s="355"/>
      <c r="M53" s="355"/>
    </row>
    <row r="54" spans="3:13" x14ac:dyDescent="0.2">
      <c r="C54" s="1"/>
      <c r="D54" s="1"/>
      <c r="E54" s="1"/>
      <c r="H54" s="355"/>
      <c r="I54" s="355"/>
      <c r="J54" s="355"/>
      <c r="K54" s="355"/>
      <c r="L54" s="355"/>
      <c r="M54" s="355"/>
    </row>
    <row r="55" spans="3:13" x14ac:dyDescent="0.2">
      <c r="C55" s="1"/>
      <c r="D55" s="1"/>
      <c r="E55" s="1"/>
      <c r="H55" s="355"/>
      <c r="I55" s="355"/>
      <c r="J55" s="355"/>
      <c r="K55" s="355"/>
      <c r="L55" s="355"/>
      <c r="M55" s="355"/>
    </row>
    <row r="56" spans="3:13" x14ac:dyDescent="0.2">
      <c r="C56" s="1"/>
      <c r="D56" s="1"/>
      <c r="E56" s="1"/>
      <c r="H56" s="355"/>
      <c r="I56" s="355"/>
      <c r="J56" s="355"/>
      <c r="K56" s="355"/>
      <c r="L56" s="355"/>
      <c r="M56" s="355"/>
    </row>
    <row r="57" spans="3:13" x14ac:dyDescent="0.2">
      <c r="C57" s="1"/>
      <c r="D57" s="1"/>
      <c r="E57" s="1"/>
      <c r="H57" s="355"/>
      <c r="I57" s="355"/>
      <c r="J57" s="355"/>
      <c r="K57" s="355"/>
      <c r="L57" s="355"/>
      <c r="M57" s="355"/>
    </row>
    <row r="58" spans="3:13" x14ac:dyDescent="0.2">
      <c r="C58" s="1"/>
      <c r="D58" s="1"/>
      <c r="E58" s="1"/>
      <c r="H58" s="355"/>
      <c r="I58" s="355"/>
      <c r="J58" s="355"/>
      <c r="K58" s="355"/>
      <c r="L58" s="355"/>
      <c r="M58" s="355"/>
    </row>
    <row r="59" spans="3:13" x14ac:dyDescent="0.2">
      <c r="C59" s="1"/>
      <c r="D59" s="1"/>
      <c r="E59" s="1"/>
      <c r="H59" s="355"/>
      <c r="I59" s="355"/>
      <c r="J59" s="355"/>
      <c r="K59" s="355"/>
      <c r="L59" s="355"/>
      <c r="M59" s="355"/>
    </row>
    <row r="60" spans="3:13" x14ac:dyDescent="0.2">
      <c r="C60" s="1"/>
      <c r="D60" s="1"/>
      <c r="E60" s="1"/>
      <c r="H60" s="355"/>
      <c r="I60" s="355"/>
      <c r="J60" s="355"/>
      <c r="K60" s="355"/>
      <c r="L60" s="355"/>
      <c r="M60" s="355"/>
    </row>
  </sheetData>
  <sheetProtection algorithmName="SHA-512" hashValue="8HHhdci2DtxbbD4WnFdnAT4Gih6o1kno8HaEcV/nk8CUjsn6qkcUo3URX3KxDsuY7IRF3tOmnw7ykfvRQwrzZA==" saltValue="BG2kUV3pPt4tDuos02ndLg==" spinCount="100000" sheet="1" objects="1" scenarios="1"/>
  <mergeCells count="2">
    <mergeCell ref="C12:G12"/>
    <mergeCell ref="H44:M60"/>
  </mergeCell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HF r:id="rId3"/>
  <extLst>
    <ext xmlns:x14="http://schemas.microsoft.com/office/spreadsheetml/2009/9/main" uri="{CCE6A557-97BC-4b89-ADB6-D9C93CAAB3DF}">
      <x14:dataValidations xmlns:xm="http://schemas.microsoft.com/office/excel/2006/main" count="2">
        <x14:dataValidation type="whole" allowBlank="1" showInputMessage="1" showErrorMessage="1" errorTitle="Jahr ausserhalb der Betrachtung" error="Es können nur Jahre innerhalb des Betrachtungszeitraumes von 25 Jahren ab Projektstart ausgewertet werden." promptTitle="Auswertungsjahr" prompt="Jahr innerhalb des Betrachtungsraumes eingeben" xr:uid="{00000000-0002-0000-0500-000000000000}">
          <x14:formula1>
            <xm:f>B1_Berechnungen!B44</xm:f>
          </x14:formula1>
          <x14:formula2>
            <xm:f>B1_Berechnungen!B68</xm:f>
          </x14:formula2>
          <xm:sqref>E34</xm:sqref>
        </x14:dataValidation>
        <x14:dataValidation type="whole" allowBlank="1" showInputMessage="1" showErrorMessage="1" errorTitle="Jahr ausserhalb der Betrachtung" error="Es können nur Jahre innerhalb des Betrachtungszeitraumes von 25 Jahren ab Projektstart ausgewertet werden." xr:uid="{704D60A3-ED8C-4608-B233-1138951FF868}">
          <x14:formula1>
            <xm:f>B1_Berechnungen!B45</xm:f>
          </x14:formula1>
          <x14:formula2>
            <xm:f>B1_Berechnungen!B69</xm:f>
          </x14:formula2>
          <xm:sqref>E35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45" customWidth="1"/>
    <col min="2" max="2" width="16.5703125" style="1" customWidth="1"/>
    <col min="3" max="3" width="21.5703125" style="1" customWidth="1"/>
    <col min="4" max="4" width="6.7109375" style="1" customWidth="1"/>
    <col min="5" max="5" width="10.7109375" style="1" customWidth="1"/>
    <col min="6" max="29" width="10.7109375" style="50" customWidth="1"/>
    <col min="30" max="16384" width="10.85546875" style="50" hidden="1"/>
  </cols>
  <sheetData>
    <row r="1" spans="1:29" ht="18" x14ac:dyDescent="0.25">
      <c r="A1" s="214">
        <v>700</v>
      </c>
      <c r="B1" s="180" t="s">
        <v>879</v>
      </c>
    </row>
    <row r="2" spans="1:29" ht="12.95" customHeight="1" x14ac:dyDescent="0.2">
      <c r="A2" s="214"/>
    </row>
    <row r="3" spans="1:29" ht="12.95" customHeight="1" x14ac:dyDescent="0.2">
      <c r="A3" s="214" t="s">
        <v>398</v>
      </c>
      <c r="C3" s="42" t="s">
        <v>4</v>
      </c>
    </row>
    <row r="4" spans="1:29" s="1" customFormat="1" ht="12.95" customHeight="1" x14ac:dyDescent="0.2">
      <c r="A4" s="214" t="s">
        <v>399</v>
      </c>
      <c r="C4" s="350" t="s">
        <v>98</v>
      </c>
      <c r="D4" s="350"/>
      <c r="E4" s="350"/>
      <c r="F4" s="350"/>
      <c r="G4" s="350"/>
      <c r="H4" s="350"/>
    </row>
    <row r="5" spans="1:29" ht="12.95" customHeight="1" x14ac:dyDescent="0.2">
      <c r="A5" s="214" t="s">
        <v>414</v>
      </c>
      <c r="B5" s="1" t="s">
        <v>68</v>
      </c>
      <c r="G5" s="1"/>
      <c r="H5" s="1"/>
      <c r="I5" s="1"/>
      <c r="J5" s="1"/>
      <c r="K5" s="1"/>
      <c r="L5" s="1"/>
      <c r="M5" s="1"/>
      <c r="N5" s="1"/>
      <c r="O5" s="1"/>
    </row>
    <row r="6" spans="1:29" s="1" customFormat="1" ht="12.95" customHeight="1" x14ac:dyDescent="0.2">
      <c r="A6" s="214"/>
      <c r="H6" s="4"/>
    </row>
    <row r="7" spans="1:29" s="1" customFormat="1" ht="12.95" customHeight="1" x14ac:dyDescent="0.2">
      <c r="A7" s="214">
        <v>106</v>
      </c>
      <c r="B7" s="5" t="s">
        <v>43</v>
      </c>
      <c r="C7" s="1" t="str">
        <f>IF(E1_Projektdaten!C8=0,"",E1_Projektdaten!C8)</f>
        <v>QMH Beispielprojekt 3</v>
      </c>
      <c r="F7" s="261"/>
      <c r="H7" s="4"/>
      <c r="O7" s="288"/>
    </row>
    <row r="8" spans="1:29" s="1" customFormat="1" ht="12.95" customHeight="1" x14ac:dyDescent="0.2">
      <c r="A8" s="214"/>
      <c r="C8" s="1" t="str">
        <f>IF(E1_Projektdaten!C9=0,"",E1_Projektdaten!C9)</f>
        <v>Wärmeverbund Holz-WKK</v>
      </c>
      <c r="F8" s="261"/>
      <c r="H8" s="4"/>
      <c r="L8" s="6"/>
      <c r="O8" s="288"/>
    </row>
    <row r="9" spans="1:29" s="1" customFormat="1" ht="12.95" customHeight="1" x14ac:dyDescent="0.2">
      <c r="A9" s="214"/>
      <c r="C9" s="1" t="str">
        <f>IF(E1_Projektdaten!C10=0,"",E1_Projektdaten!C10)</f>
        <v/>
      </c>
      <c r="F9" s="261"/>
      <c r="H9" s="4"/>
      <c r="L9" s="6"/>
      <c r="O9" s="288"/>
    </row>
    <row r="10" spans="1:29" s="1" customFormat="1" ht="12.95" customHeight="1" x14ac:dyDescent="0.2">
      <c r="A10" s="214"/>
      <c r="F10" s="261"/>
      <c r="H10" s="4"/>
      <c r="L10" s="7"/>
      <c r="O10" s="288"/>
    </row>
    <row r="11" spans="1:29" s="1" customFormat="1" ht="12.95" customHeight="1" x14ac:dyDescent="0.2">
      <c r="A11" s="214">
        <v>107</v>
      </c>
      <c r="B11" s="1" t="s">
        <v>44</v>
      </c>
      <c r="C11" s="1" t="str">
        <f>IF(E1_Projektdaten!C12=0,"",E1_Projektdaten!C12)</f>
        <v>Datum, Erfasser:in</v>
      </c>
      <c r="F11" s="261"/>
    </row>
    <row r="12" spans="1:29" s="1" customFormat="1" ht="12.95" customHeight="1" x14ac:dyDescent="0.2">
      <c r="A12" s="214"/>
      <c r="J12" s="244"/>
      <c r="M12" s="244"/>
    </row>
    <row r="13" spans="1:29" s="1" customFormat="1" ht="12.95" customHeight="1" x14ac:dyDescent="0.2">
      <c r="A13" s="214">
        <v>501</v>
      </c>
      <c r="B13" s="51" t="s">
        <v>6</v>
      </c>
      <c r="C13" s="354" t="str">
        <f>IF(E1_Projektdaten!C14&lt;&gt;"",E1_Projektdaten!Y15,"")</f>
        <v>Es existieren Warnungen im Register 'E1_Projektdaten'!</v>
      </c>
      <c r="D13" s="354"/>
      <c r="E13" s="354"/>
      <c r="F13" s="354"/>
      <c r="G13" s="354"/>
      <c r="H13" s="50"/>
      <c r="I13" s="50"/>
      <c r="J13" s="50"/>
      <c r="K13" s="50"/>
      <c r="L13" s="50"/>
      <c r="M13" s="50"/>
      <c r="N13" s="50"/>
      <c r="O13" s="50"/>
    </row>
    <row r="14" spans="1:29" ht="12.75" customHeight="1" x14ac:dyDescent="0.2">
      <c r="A14" s="214"/>
      <c r="P14" s="1"/>
      <c r="Q14" s="1"/>
    </row>
    <row r="15" spans="1:29" s="53" customFormat="1" ht="12.75" customHeight="1" x14ac:dyDescent="0.2">
      <c r="A15" s="214">
        <v>531</v>
      </c>
      <c r="B15" s="249" t="s">
        <v>100</v>
      </c>
      <c r="C15" s="249"/>
      <c r="D15" s="249"/>
      <c r="E15" s="321" cm="1">
        <f t="array" ref="E15:AC15">TRANSPOSE(B1_Berechnungen!B$44:B$68)</f>
        <v>2024</v>
      </c>
      <c r="F15" s="316">
        <v>2025</v>
      </c>
      <c r="G15" s="316">
        <v>2026</v>
      </c>
      <c r="H15" s="316">
        <v>2027</v>
      </c>
      <c r="I15" s="316">
        <v>2028</v>
      </c>
      <c r="J15" s="316">
        <v>2029</v>
      </c>
      <c r="K15" s="316">
        <v>2030</v>
      </c>
      <c r="L15" s="316">
        <v>2031</v>
      </c>
      <c r="M15" s="316">
        <v>2032</v>
      </c>
      <c r="N15" s="316">
        <v>2033</v>
      </c>
      <c r="O15" s="316">
        <v>2034</v>
      </c>
      <c r="P15" s="317">
        <v>2035</v>
      </c>
      <c r="Q15" s="317">
        <v>2036</v>
      </c>
      <c r="R15" s="316">
        <v>2037</v>
      </c>
      <c r="S15" s="316">
        <v>2038</v>
      </c>
      <c r="T15" s="316">
        <v>2039</v>
      </c>
      <c r="U15" s="316">
        <v>2040</v>
      </c>
      <c r="V15" s="316">
        <v>2041</v>
      </c>
      <c r="W15" s="316">
        <v>2042</v>
      </c>
      <c r="X15" s="316">
        <v>2043</v>
      </c>
      <c r="Y15" s="316">
        <v>2044</v>
      </c>
      <c r="Z15" s="316">
        <v>2045</v>
      </c>
      <c r="AA15" s="316">
        <v>2046</v>
      </c>
      <c r="AB15" s="316">
        <v>2047</v>
      </c>
      <c r="AC15" s="318">
        <v>2048</v>
      </c>
    </row>
    <row r="16" spans="1:29" ht="12.75" customHeight="1" x14ac:dyDescent="0.2">
      <c r="A16" s="214">
        <v>561</v>
      </c>
      <c r="B16" s="296"/>
      <c r="C16" s="297" t="s">
        <v>880</v>
      </c>
      <c r="D16" s="246" t="s">
        <v>123</v>
      </c>
      <c r="E16" s="298" cm="1">
        <f t="array" ref="E16:AC16">TRANSPOSE(B1_Berechnungen!N$44:N$68)</f>
        <v>0</v>
      </c>
      <c r="F16" s="299">
        <v>0</v>
      </c>
      <c r="G16" s="299">
        <v>881493.08111850009</v>
      </c>
      <c r="H16" s="299">
        <v>2170633.8991265525</v>
      </c>
      <c r="I16" s="299">
        <v>3008668.7875172254</v>
      </c>
      <c r="J16" s="299">
        <v>3484958.4017633372</v>
      </c>
      <c r="K16" s="299">
        <v>3735274.4874545652</v>
      </c>
      <c r="L16" s="299">
        <v>3956896.5593598373</v>
      </c>
      <c r="M16" s="299">
        <v>3992902.6335347672</v>
      </c>
      <c r="N16" s="299">
        <v>4029284.0374874379</v>
      </c>
      <c r="O16" s="299">
        <v>4052429.3883220991</v>
      </c>
      <c r="P16" s="299">
        <v>4137260.1756148105</v>
      </c>
      <c r="Q16" s="299">
        <v>4223040.9743667152</v>
      </c>
      <c r="R16" s="299">
        <v>4247614.5560827721</v>
      </c>
      <c r="S16" s="299">
        <v>4272435.6392987911</v>
      </c>
      <c r="T16" s="299">
        <v>4297506.698853204</v>
      </c>
      <c r="U16" s="299">
        <v>4322830.2343328465</v>
      </c>
      <c r="V16" s="299">
        <v>4348408.7703204351</v>
      </c>
      <c r="W16" s="299">
        <v>4374244.8566445354</v>
      </c>
      <c r="X16" s="299">
        <v>4400341.0686320141</v>
      </c>
      <c r="Y16" s="299">
        <v>4426700.007363027</v>
      </c>
      <c r="Z16" s="299">
        <v>4453324.2999285441</v>
      </c>
      <c r="AA16" s="299">
        <v>4480216.599690469</v>
      </c>
      <c r="AB16" s="299">
        <v>4507379.5865443349</v>
      </c>
      <c r="AC16" s="300">
        <v>4534815.9671846554</v>
      </c>
    </row>
    <row r="17" spans="1:29" ht="12.75" customHeight="1" x14ac:dyDescent="0.2">
      <c r="A17" s="214">
        <v>562</v>
      </c>
      <c r="B17" s="293"/>
      <c r="C17" s="292" t="s">
        <v>881</v>
      </c>
      <c r="D17" s="292" t="s">
        <v>123</v>
      </c>
      <c r="E17" s="105" cm="1">
        <f t="array" ref="E17:AC17">TRANSPOSE(B1_Berechnungen!O$44:O$68)</f>
        <v>0</v>
      </c>
      <c r="F17" s="294">
        <v>0</v>
      </c>
      <c r="G17" s="294">
        <v>152968.5766949917</v>
      </c>
      <c r="H17" s="294">
        <v>374722.68570717884</v>
      </c>
      <c r="I17" s="294">
        <v>516435.0243364324</v>
      </c>
      <c r="J17" s="294">
        <v>594257.93187456939</v>
      </c>
      <c r="K17" s="294">
        <v>633033.0721842862</v>
      </c>
      <c r="L17" s="294">
        <v>666860.16111034714</v>
      </c>
      <c r="M17" s="294">
        <v>669164.57735854317</v>
      </c>
      <c r="N17" s="294">
        <v>671468.52605488815</v>
      </c>
      <c r="O17" s="294">
        <v>671401.37920228264</v>
      </c>
      <c r="P17" s="294">
        <v>681408.40083458635</v>
      </c>
      <c r="Q17" s="294">
        <v>691413.41434854944</v>
      </c>
      <c r="R17" s="294">
        <v>691344.27300711442</v>
      </c>
      <c r="S17" s="294">
        <v>691275.13857981388</v>
      </c>
      <c r="T17" s="294">
        <v>691206.01106595574</v>
      </c>
      <c r="U17" s="294">
        <v>691136.89046484942</v>
      </c>
      <c r="V17" s="294">
        <v>691067.77677580283</v>
      </c>
      <c r="W17" s="294">
        <v>690998.66999812541</v>
      </c>
      <c r="X17" s="294">
        <v>690929.57013112539</v>
      </c>
      <c r="Y17" s="294">
        <v>690860.47717411246</v>
      </c>
      <c r="Z17" s="294">
        <v>690791.39112639474</v>
      </c>
      <c r="AA17" s="294">
        <v>690722.31198728224</v>
      </c>
      <c r="AB17" s="294">
        <v>690653.23975608358</v>
      </c>
      <c r="AC17" s="295">
        <v>690584.17443210783</v>
      </c>
    </row>
    <row r="18" spans="1:29" ht="12.75" customHeight="1" x14ac:dyDescent="0.2">
      <c r="A18" s="214">
        <v>563</v>
      </c>
      <c r="B18" s="293"/>
      <c r="C18" s="292" t="s">
        <v>882</v>
      </c>
      <c r="D18" s="292" t="s">
        <v>123</v>
      </c>
      <c r="E18" s="105" cm="1">
        <f t="array" ref="E18:AC18">TRANSPOSE(B1_Berechnungen!P$44:P$68)</f>
        <v>0</v>
      </c>
      <c r="F18" s="294">
        <v>0</v>
      </c>
      <c r="G18" s="294">
        <v>143864.12164611588</v>
      </c>
      <c r="H18" s="294">
        <v>352419.76623491617</v>
      </c>
      <c r="I18" s="294">
        <v>485697.60383920633</v>
      </c>
      <c r="J18" s="294">
        <v>558888.61129196465</v>
      </c>
      <c r="K18" s="294">
        <v>595355.91472700378</v>
      </c>
      <c r="L18" s="294">
        <v>627169.66720700648</v>
      </c>
      <c r="M18" s="294">
        <v>629336.9281348167</v>
      </c>
      <c r="N18" s="294">
        <v>631503.74933874456</v>
      </c>
      <c r="O18" s="294">
        <v>631440.59896381071</v>
      </c>
      <c r="P18" s="294">
        <v>640852.01801816712</v>
      </c>
      <c r="Q18" s="294">
        <v>650261.54847430659</v>
      </c>
      <c r="R18" s="294">
        <v>650196.52231945912</v>
      </c>
      <c r="S18" s="294">
        <v>650131.50266722741</v>
      </c>
      <c r="T18" s="294">
        <v>650066.48951696046</v>
      </c>
      <c r="U18" s="294">
        <v>650001.4828680089</v>
      </c>
      <c r="V18" s="294">
        <v>649936.48271972209</v>
      </c>
      <c r="W18" s="294">
        <v>649871.4890714502</v>
      </c>
      <c r="X18" s="294">
        <v>649806.50192254293</v>
      </c>
      <c r="Y18" s="294">
        <v>649741.5212723508</v>
      </c>
      <c r="Z18" s="294">
        <v>649676.5471202234</v>
      </c>
      <c r="AA18" s="294">
        <v>649611.57946551137</v>
      </c>
      <c r="AB18" s="294">
        <v>649546.61830756487</v>
      </c>
      <c r="AC18" s="295">
        <v>649481.66364573408</v>
      </c>
    </row>
    <row r="19" spans="1:29" ht="12.75" customHeight="1" x14ac:dyDescent="0.2">
      <c r="A19" s="214">
        <v>564</v>
      </c>
      <c r="B19" s="293"/>
      <c r="C19" s="292" t="s">
        <v>367</v>
      </c>
      <c r="D19" s="292" t="s">
        <v>123</v>
      </c>
      <c r="E19" s="105" cm="1">
        <f t="array" ref="E19:AC19">TRANSPOSE(B1_Berechnungen!Q$44:Q$68)</f>
        <v>0</v>
      </c>
      <c r="F19" s="294">
        <v>0</v>
      </c>
      <c r="G19" s="294">
        <v>0</v>
      </c>
      <c r="H19" s="294">
        <v>0</v>
      </c>
      <c r="I19" s="294">
        <v>0</v>
      </c>
      <c r="J19" s="294">
        <v>0</v>
      </c>
      <c r="K19" s="294">
        <v>0</v>
      </c>
      <c r="L19" s="294">
        <v>0</v>
      </c>
      <c r="M19" s="294">
        <v>0</v>
      </c>
      <c r="N19" s="294">
        <v>0</v>
      </c>
      <c r="O19" s="294">
        <v>0</v>
      </c>
      <c r="P19" s="294">
        <v>0</v>
      </c>
      <c r="Q19" s="294">
        <v>0</v>
      </c>
      <c r="R19" s="294">
        <v>0</v>
      </c>
      <c r="S19" s="294">
        <v>0</v>
      </c>
      <c r="T19" s="294">
        <v>0</v>
      </c>
      <c r="U19" s="294">
        <v>0</v>
      </c>
      <c r="V19" s="294">
        <v>0</v>
      </c>
      <c r="W19" s="294">
        <v>0</v>
      </c>
      <c r="X19" s="294">
        <v>0</v>
      </c>
      <c r="Y19" s="294">
        <v>0</v>
      </c>
      <c r="Z19" s="294">
        <v>0</v>
      </c>
      <c r="AA19" s="294">
        <v>0</v>
      </c>
      <c r="AB19" s="294">
        <v>0</v>
      </c>
      <c r="AC19" s="295">
        <v>0</v>
      </c>
    </row>
    <row r="20" spans="1:29" ht="12.75" customHeight="1" x14ac:dyDescent="0.2">
      <c r="A20" s="214">
        <v>566</v>
      </c>
      <c r="B20" s="302"/>
      <c r="C20" s="303" t="s">
        <v>104</v>
      </c>
      <c r="D20" s="303" t="s">
        <v>123</v>
      </c>
      <c r="E20" s="311" cm="1">
        <f t="array" ref="E20:AC20">TRANSPOSE(B1_Berechnungen!R$44:R$68)</f>
        <v>0</v>
      </c>
      <c r="F20" s="312">
        <v>0</v>
      </c>
      <c r="G20" s="312">
        <v>0</v>
      </c>
      <c r="H20" s="312">
        <v>0</v>
      </c>
      <c r="I20" s="312">
        <v>0</v>
      </c>
      <c r="J20" s="312">
        <v>0</v>
      </c>
      <c r="K20" s="312">
        <v>0</v>
      </c>
      <c r="L20" s="312">
        <v>0</v>
      </c>
      <c r="M20" s="312">
        <v>0</v>
      </c>
      <c r="N20" s="312">
        <v>0</v>
      </c>
      <c r="O20" s="312">
        <v>0</v>
      </c>
      <c r="P20" s="312">
        <v>0</v>
      </c>
      <c r="Q20" s="312">
        <v>0</v>
      </c>
      <c r="R20" s="312">
        <v>0</v>
      </c>
      <c r="S20" s="312">
        <v>0</v>
      </c>
      <c r="T20" s="312">
        <v>0</v>
      </c>
      <c r="U20" s="312">
        <v>0</v>
      </c>
      <c r="V20" s="312">
        <v>0</v>
      </c>
      <c r="W20" s="312">
        <v>0</v>
      </c>
      <c r="X20" s="312">
        <v>0</v>
      </c>
      <c r="Y20" s="312">
        <v>0</v>
      </c>
      <c r="Z20" s="312">
        <v>0</v>
      </c>
      <c r="AA20" s="312">
        <v>0</v>
      </c>
      <c r="AB20" s="312">
        <v>0</v>
      </c>
      <c r="AC20" s="313">
        <v>0</v>
      </c>
    </row>
    <row r="21" spans="1:29" s="53" customFormat="1" ht="17.100000000000001" customHeight="1" thickBot="1" x14ac:dyDescent="0.25">
      <c r="A21" s="214">
        <v>569</v>
      </c>
      <c r="B21" s="308" t="s">
        <v>883</v>
      </c>
      <c r="C21" s="310"/>
      <c r="D21" s="310" t="s">
        <v>123</v>
      </c>
      <c r="E21" s="314">
        <f>SUM(E16:E20)</f>
        <v>0</v>
      </c>
      <c r="F21" s="314">
        <f t="shared" ref="F21:AC21" si="0">SUM(F16:F20)</f>
        <v>0</v>
      </c>
      <c r="G21" s="314">
        <f t="shared" si="0"/>
        <v>1178325.7794596076</v>
      </c>
      <c r="H21" s="314">
        <f t="shared" si="0"/>
        <v>2897776.3510686476</v>
      </c>
      <c r="I21" s="314">
        <f t="shared" si="0"/>
        <v>4010801.4156928645</v>
      </c>
      <c r="J21" s="314">
        <f t="shared" si="0"/>
        <v>4638104.9449298717</v>
      </c>
      <c r="K21" s="314">
        <f t="shared" si="0"/>
        <v>4963663.4743658546</v>
      </c>
      <c r="L21" s="314">
        <f t="shared" si="0"/>
        <v>5250926.3876771908</v>
      </c>
      <c r="M21" s="314">
        <f t="shared" si="0"/>
        <v>5291404.1390281273</v>
      </c>
      <c r="N21" s="314">
        <f t="shared" si="0"/>
        <v>5332256.3128810702</v>
      </c>
      <c r="O21" s="314">
        <f t="shared" si="0"/>
        <v>5355271.3664881932</v>
      </c>
      <c r="P21" s="314">
        <f t="shared" si="0"/>
        <v>5459520.5944675645</v>
      </c>
      <c r="Q21" s="314">
        <f t="shared" si="0"/>
        <v>5564715.9371895706</v>
      </c>
      <c r="R21" s="314">
        <f t="shared" si="0"/>
        <v>5589155.3514093459</v>
      </c>
      <c r="S21" s="314">
        <f t="shared" si="0"/>
        <v>5613842.2805458326</v>
      </c>
      <c r="T21" s="314">
        <f t="shared" si="0"/>
        <v>5638779.1994361207</v>
      </c>
      <c r="U21" s="314">
        <f t="shared" si="0"/>
        <v>5663968.6076657055</v>
      </c>
      <c r="V21" s="314">
        <f t="shared" si="0"/>
        <v>5689413.0298159597</v>
      </c>
      <c r="W21" s="314">
        <f t="shared" si="0"/>
        <v>5715115.0157141108</v>
      </c>
      <c r="X21" s="314">
        <f t="shared" si="0"/>
        <v>5741077.1406856822</v>
      </c>
      <c r="Y21" s="314">
        <f t="shared" si="0"/>
        <v>5767302.0058094906</v>
      </c>
      <c r="Z21" s="314">
        <f t="shared" si="0"/>
        <v>5793792.2381751621</v>
      </c>
      <c r="AA21" s="314">
        <f t="shared" si="0"/>
        <v>5820550.4911432629</v>
      </c>
      <c r="AB21" s="314">
        <f t="shared" si="0"/>
        <v>5847579.4446079824</v>
      </c>
      <c r="AC21" s="315">
        <f t="shared" si="0"/>
        <v>5874881.8052624976</v>
      </c>
    </row>
    <row r="22" spans="1:29" s="53" customFormat="1" ht="12.75" customHeight="1" thickTop="1" x14ac:dyDescent="0.2">
      <c r="A22" s="214"/>
      <c r="B22" s="5"/>
      <c r="C22" s="5"/>
      <c r="D22" s="5"/>
      <c r="E22" s="56"/>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row>
    <row r="23" spans="1:29" ht="12.75" customHeight="1" x14ac:dyDescent="0.2">
      <c r="A23" s="214"/>
      <c r="B23" s="5" t="s">
        <v>99</v>
      </c>
      <c r="D23" s="249"/>
      <c r="E23" s="321" cm="1">
        <f t="array" ref="E23:AC23">TRANSPOSE(B1_Berechnungen!B$44:B$68)</f>
        <v>2024</v>
      </c>
      <c r="F23" s="319">
        <v>2025</v>
      </c>
      <c r="G23" s="319">
        <v>2026</v>
      </c>
      <c r="H23" s="319">
        <v>2027</v>
      </c>
      <c r="I23" s="319">
        <v>2028</v>
      </c>
      <c r="J23" s="319">
        <v>2029</v>
      </c>
      <c r="K23" s="319">
        <v>2030</v>
      </c>
      <c r="L23" s="319">
        <v>2031</v>
      </c>
      <c r="M23" s="319">
        <v>2032</v>
      </c>
      <c r="N23" s="319">
        <v>2033</v>
      </c>
      <c r="O23" s="319">
        <v>2034</v>
      </c>
      <c r="P23" s="319">
        <v>2035</v>
      </c>
      <c r="Q23" s="319">
        <v>2036</v>
      </c>
      <c r="R23" s="319">
        <v>2037</v>
      </c>
      <c r="S23" s="319">
        <v>2038</v>
      </c>
      <c r="T23" s="319">
        <v>2039</v>
      </c>
      <c r="U23" s="319">
        <v>2040</v>
      </c>
      <c r="V23" s="319">
        <v>2041</v>
      </c>
      <c r="W23" s="319">
        <v>2042</v>
      </c>
      <c r="X23" s="319">
        <v>2043</v>
      </c>
      <c r="Y23" s="319">
        <v>2044</v>
      </c>
      <c r="Z23" s="319">
        <v>2045</v>
      </c>
      <c r="AA23" s="319">
        <v>2046</v>
      </c>
      <c r="AB23" s="319">
        <v>2047</v>
      </c>
      <c r="AC23" s="320">
        <v>2048</v>
      </c>
    </row>
    <row r="24" spans="1:29" ht="12.75" customHeight="1" x14ac:dyDescent="0.2">
      <c r="A24" s="214" t="s">
        <v>424</v>
      </c>
      <c r="B24" s="291" t="s">
        <v>182</v>
      </c>
      <c r="C24" s="301" t="s">
        <v>884</v>
      </c>
      <c r="D24" s="301" t="s">
        <v>123</v>
      </c>
      <c r="E24" s="322" cm="1">
        <f t="array" ref="E24:AC24">TRANSPOSE(B1_Berechnungen!U$44:U$68)</f>
        <v>0</v>
      </c>
      <c r="F24" s="323">
        <v>0</v>
      </c>
      <c r="G24" s="323">
        <v>141816.63241844997</v>
      </c>
      <c r="H24" s="323">
        <v>347404.09125823586</v>
      </c>
      <c r="I24" s="323">
        <v>478785.10473668424</v>
      </c>
      <c r="J24" s="323">
        <v>550934.45011548803</v>
      </c>
      <c r="K24" s="323">
        <v>586882.74707350612</v>
      </c>
      <c r="L24" s="323">
        <v>618243.72290044837</v>
      </c>
      <c r="M24" s="323">
        <v>620380.13914403517</v>
      </c>
      <c r="N24" s="323">
        <v>622516.12192193605</v>
      </c>
      <c r="O24" s="323">
        <v>622453.87030974391</v>
      </c>
      <c r="P24" s="323">
        <v>631731.34506367042</v>
      </c>
      <c r="Q24" s="323">
        <v>641006.95809810748</v>
      </c>
      <c r="R24" s="323">
        <v>640942.85740229755</v>
      </c>
      <c r="S24" s="323">
        <v>640878.7631165575</v>
      </c>
      <c r="T24" s="323">
        <v>640814.67524024576</v>
      </c>
      <c r="U24" s="323">
        <v>640750.59377272183</v>
      </c>
      <c r="V24" s="323">
        <v>640686.51871334459</v>
      </c>
      <c r="W24" s="323">
        <v>640622.4500614733</v>
      </c>
      <c r="X24" s="323">
        <v>640558.38781646697</v>
      </c>
      <c r="Y24" s="323">
        <v>640494.33197768533</v>
      </c>
      <c r="Z24" s="323">
        <v>640430.28254448751</v>
      </c>
      <c r="AA24" s="323">
        <v>640366.23951623309</v>
      </c>
      <c r="AB24" s="323">
        <v>640302.2028922817</v>
      </c>
      <c r="AC24" s="324">
        <v>640238.17267199233</v>
      </c>
    </row>
    <row r="25" spans="1:29" s="45" customFormat="1" ht="12.75" customHeight="1" x14ac:dyDescent="0.2">
      <c r="A25" s="214" t="s">
        <v>425</v>
      </c>
      <c r="B25" s="293"/>
      <c r="C25" s="292" t="s">
        <v>430</v>
      </c>
      <c r="D25" s="292" t="s">
        <v>123</v>
      </c>
      <c r="E25" s="105" cm="1">
        <f t="array" ref="E25:AC25">TRANSPOSE(B1_Berechnungen!V$44:V$68)</f>
        <v>0</v>
      </c>
      <c r="F25" s="294">
        <v>0</v>
      </c>
      <c r="G25" s="294">
        <v>177270.79052306246</v>
      </c>
      <c r="H25" s="294">
        <v>434255.11407279473</v>
      </c>
      <c r="I25" s="294">
        <v>598481.38092085521</v>
      </c>
      <c r="J25" s="294">
        <v>688668.06264435989</v>
      </c>
      <c r="K25" s="294">
        <v>733603.43384188274</v>
      </c>
      <c r="L25" s="294">
        <v>772804.65362556023</v>
      </c>
      <c r="M25" s="294">
        <v>775475.17393004394</v>
      </c>
      <c r="N25" s="294">
        <v>778145.15240242006</v>
      </c>
      <c r="O25" s="294">
        <v>778067.33788717969</v>
      </c>
      <c r="P25" s="294">
        <v>789664.18132958794</v>
      </c>
      <c r="Q25" s="294">
        <v>801258.69762263435</v>
      </c>
      <c r="R25" s="294">
        <v>801178.57175287185</v>
      </c>
      <c r="S25" s="294">
        <v>801098.45389569679</v>
      </c>
      <c r="T25" s="294">
        <v>801018.34405030718</v>
      </c>
      <c r="U25" s="294">
        <v>800938.2422159022</v>
      </c>
      <c r="V25" s="294">
        <v>800858.14839168068</v>
      </c>
      <c r="W25" s="325">
        <v>800778.06257684156</v>
      </c>
      <c r="X25" s="325">
        <v>800697.98477058369</v>
      </c>
      <c r="Y25" s="325">
        <v>800617.91497210669</v>
      </c>
      <c r="Z25" s="325">
        <v>800537.85318060941</v>
      </c>
      <c r="AA25" s="325">
        <v>800457.79939529137</v>
      </c>
      <c r="AB25" s="325">
        <v>800377.75361535186</v>
      </c>
      <c r="AC25" s="326">
        <v>800297.7158399903</v>
      </c>
    </row>
    <row r="26" spans="1:29" s="45" customFormat="1" ht="12.75" customHeight="1" x14ac:dyDescent="0.2">
      <c r="A26" s="214" t="s">
        <v>426</v>
      </c>
      <c r="B26" s="293"/>
      <c r="C26" s="292" t="s">
        <v>885</v>
      </c>
      <c r="D26" s="292" t="s">
        <v>123</v>
      </c>
      <c r="E26" s="105" cm="1">
        <f t="array" ref="E26:AC26">TRANSPOSE(B1_Berechnungen!W$44:W$68)</f>
        <v>0</v>
      </c>
      <c r="F26" s="294">
        <v>0</v>
      </c>
      <c r="G26" s="294">
        <v>0</v>
      </c>
      <c r="H26" s="294">
        <v>0</v>
      </c>
      <c r="I26" s="294">
        <v>0</v>
      </c>
      <c r="J26" s="294">
        <v>0</v>
      </c>
      <c r="K26" s="294">
        <v>0</v>
      </c>
      <c r="L26" s="294">
        <v>0</v>
      </c>
      <c r="M26" s="294">
        <v>0</v>
      </c>
      <c r="N26" s="294">
        <v>0</v>
      </c>
      <c r="O26" s="294">
        <v>0</v>
      </c>
      <c r="P26" s="294">
        <v>0</v>
      </c>
      <c r="Q26" s="294">
        <v>0</v>
      </c>
      <c r="R26" s="294">
        <v>0</v>
      </c>
      <c r="S26" s="294">
        <v>0</v>
      </c>
      <c r="T26" s="294">
        <v>0</v>
      </c>
      <c r="U26" s="294">
        <v>0</v>
      </c>
      <c r="V26" s="294">
        <v>0</v>
      </c>
      <c r="W26" s="325">
        <v>0</v>
      </c>
      <c r="X26" s="325">
        <v>0</v>
      </c>
      <c r="Y26" s="325">
        <v>0</v>
      </c>
      <c r="Z26" s="325">
        <v>0</v>
      </c>
      <c r="AA26" s="325">
        <v>0</v>
      </c>
      <c r="AB26" s="325">
        <v>0</v>
      </c>
      <c r="AC26" s="326">
        <v>0</v>
      </c>
    </row>
    <row r="27" spans="1:29" s="45" customFormat="1" ht="12.75" customHeight="1" x14ac:dyDescent="0.2">
      <c r="A27" s="214" t="s">
        <v>427</v>
      </c>
      <c r="B27" s="293"/>
      <c r="C27" s="292" t="s">
        <v>332</v>
      </c>
      <c r="D27" s="292" t="s">
        <v>123</v>
      </c>
      <c r="E27" s="105" cm="1">
        <f t="array" ref="E27:AC27">TRANSPOSE(B1_Berechnungen!X$44:X$68)</f>
        <v>0</v>
      </c>
      <c r="F27" s="294">
        <v>0</v>
      </c>
      <c r="G27" s="294">
        <v>0</v>
      </c>
      <c r="H27" s="294">
        <v>0</v>
      </c>
      <c r="I27" s="294">
        <v>0</v>
      </c>
      <c r="J27" s="294">
        <v>0</v>
      </c>
      <c r="K27" s="294">
        <v>0</v>
      </c>
      <c r="L27" s="294">
        <v>0</v>
      </c>
      <c r="M27" s="294">
        <v>0</v>
      </c>
      <c r="N27" s="294">
        <v>0</v>
      </c>
      <c r="O27" s="294">
        <v>0</v>
      </c>
      <c r="P27" s="294">
        <v>0</v>
      </c>
      <c r="Q27" s="294">
        <v>0</v>
      </c>
      <c r="R27" s="294">
        <v>0</v>
      </c>
      <c r="S27" s="294">
        <v>0</v>
      </c>
      <c r="T27" s="294">
        <v>0</v>
      </c>
      <c r="U27" s="294">
        <v>0</v>
      </c>
      <c r="V27" s="294">
        <v>0</v>
      </c>
      <c r="W27" s="325">
        <v>0</v>
      </c>
      <c r="X27" s="325">
        <v>0</v>
      </c>
      <c r="Y27" s="325">
        <v>0</v>
      </c>
      <c r="Z27" s="325">
        <v>0</v>
      </c>
      <c r="AA27" s="325">
        <v>0</v>
      </c>
      <c r="AB27" s="325">
        <v>0</v>
      </c>
      <c r="AC27" s="326">
        <v>0</v>
      </c>
    </row>
    <row r="28" spans="1:29" s="45" customFormat="1" ht="12.75" customHeight="1" x14ac:dyDescent="0.2">
      <c r="A28" s="214" t="s">
        <v>432</v>
      </c>
      <c r="B28" s="293"/>
      <c r="C28" s="292" t="s">
        <v>24</v>
      </c>
      <c r="D28" s="292" t="s">
        <v>123</v>
      </c>
      <c r="E28" s="105" cm="1">
        <f t="array" ref="E28:AC28">TRANSPOSE(B1_Berechnungen!Y$44:Y$68)</f>
        <v>0</v>
      </c>
      <c r="F28" s="294">
        <v>0</v>
      </c>
      <c r="G28" s="294">
        <v>60670.217077411748</v>
      </c>
      <c r="H28" s="294">
        <v>148622.07112651799</v>
      </c>
      <c r="I28" s="294">
        <v>204827.85229376864</v>
      </c>
      <c r="J28" s="294">
        <v>235693.88240234775</v>
      </c>
      <c r="K28" s="294">
        <v>251072.83297262291</v>
      </c>
      <c r="L28" s="294">
        <v>264489.29321944306</v>
      </c>
      <c r="M28" s="294">
        <v>265403.26808300964</v>
      </c>
      <c r="N28" s="294">
        <v>266317.05750671058</v>
      </c>
      <c r="O28" s="294">
        <v>266290.42580095987</v>
      </c>
      <c r="P28" s="294">
        <v>270259.39895771997</v>
      </c>
      <c r="Q28" s="294">
        <v>274227.57565694436</v>
      </c>
      <c r="R28" s="294">
        <v>274200.15289937862</v>
      </c>
      <c r="S28" s="294">
        <v>274172.73288408876</v>
      </c>
      <c r="T28" s="294">
        <v>274145.31561080029</v>
      </c>
      <c r="U28" s="294">
        <v>274117.90107923921</v>
      </c>
      <c r="V28" s="294">
        <v>274090.48928913131</v>
      </c>
      <c r="W28" s="325">
        <v>274063.08024020243</v>
      </c>
      <c r="X28" s="325">
        <v>274035.67393217835</v>
      </c>
      <c r="Y28" s="325">
        <v>274008.27036478516</v>
      </c>
      <c r="Z28" s="325">
        <v>273980.86953774863</v>
      </c>
      <c r="AA28" s="325">
        <v>273953.47145079484</v>
      </c>
      <c r="AB28" s="325">
        <v>273926.0761036498</v>
      </c>
      <c r="AC28" s="326">
        <v>273898.68349603942</v>
      </c>
    </row>
    <row r="29" spans="1:29" s="45" customFormat="1" ht="12.75" customHeight="1" x14ac:dyDescent="0.2">
      <c r="A29" s="214" t="s">
        <v>433</v>
      </c>
      <c r="B29" s="293"/>
      <c r="C29" s="292" t="s">
        <v>359</v>
      </c>
      <c r="D29" s="292" t="s">
        <v>123</v>
      </c>
      <c r="E29" s="105" cm="1">
        <f t="array" ref="E29:AC29">TRANSPOSE(B1_Berechnungen!Z$44:Z$68)</f>
        <v>0</v>
      </c>
      <c r="F29" s="294">
        <v>0</v>
      </c>
      <c r="G29" s="294">
        <v>0</v>
      </c>
      <c r="H29" s="294">
        <v>0</v>
      </c>
      <c r="I29" s="294">
        <v>0</v>
      </c>
      <c r="J29" s="294">
        <v>0</v>
      </c>
      <c r="K29" s="294">
        <v>0</v>
      </c>
      <c r="L29" s="294">
        <v>0</v>
      </c>
      <c r="M29" s="294">
        <v>0</v>
      </c>
      <c r="N29" s="294">
        <v>0</v>
      </c>
      <c r="O29" s="294">
        <v>0</v>
      </c>
      <c r="P29" s="294">
        <v>0</v>
      </c>
      <c r="Q29" s="294">
        <v>0</v>
      </c>
      <c r="R29" s="294">
        <v>0</v>
      </c>
      <c r="S29" s="294">
        <v>0</v>
      </c>
      <c r="T29" s="294">
        <v>0</v>
      </c>
      <c r="U29" s="294">
        <v>0</v>
      </c>
      <c r="V29" s="294">
        <v>0</v>
      </c>
      <c r="W29" s="325">
        <v>0</v>
      </c>
      <c r="X29" s="325">
        <v>0</v>
      </c>
      <c r="Y29" s="325">
        <v>0</v>
      </c>
      <c r="Z29" s="325">
        <v>0</v>
      </c>
      <c r="AA29" s="325">
        <v>0</v>
      </c>
      <c r="AB29" s="325">
        <v>0</v>
      </c>
      <c r="AC29" s="326">
        <v>0</v>
      </c>
    </row>
    <row r="30" spans="1:29" s="45" customFormat="1" ht="12.75" customHeight="1" x14ac:dyDescent="0.2">
      <c r="A30" s="214" t="s">
        <v>434</v>
      </c>
      <c r="B30" s="302"/>
      <c r="C30" s="303" t="s">
        <v>361</v>
      </c>
      <c r="D30" s="303" t="s">
        <v>123</v>
      </c>
      <c r="E30" s="311" cm="1">
        <f t="array" ref="E30:AC30">TRANSPOSE(B1_Berechnungen!AA$44:AA$68)</f>
        <v>0</v>
      </c>
      <c r="F30" s="312">
        <v>0</v>
      </c>
      <c r="G30" s="312">
        <v>4297.4737096499975</v>
      </c>
      <c r="H30" s="312">
        <v>10527.396704795021</v>
      </c>
      <c r="I30" s="312">
        <v>14508.639537475272</v>
      </c>
      <c r="J30" s="312">
        <v>16694.983336832964</v>
      </c>
      <c r="K30" s="312">
        <v>17784.325668894118</v>
      </c>
      <c r="L30" s="312">
        <v>18734.658269710548</v>
      </c>
      <c r="M30" s="312">
        <v>18799.398155879848</v>
      </c>
      <c r="N30" s="312">
        <v>18864.124906725327</v>
      </c>
      <c r="O30" s="312">
        <v>18862.238494234651</v>
      </c>
      <c r="P30" s="312">
        <v>19143.374092838494</v>
      </c>
      <c r="Q30" s="312">
        <v>19424.453275700216</v>
      </c>
      <c r="R30" s="312">
        <v>19422.510830372648</v>
      </c>
      <c r="S30" s="312">
        <v>19420.568579289615</v>
      </c>
      <c r="T30" s="312">
        <v>19418.626522431681</v>
      </c>
      <c r="U30" s="312">
        <v>19416.684659779439</v>
      </c>
      <c r="V30" s="312">
        <v>19414.742991313466</v>
      </c>
      <c r="W30" s="327">
        <v>19412.801517014334</v>
      </c>
      <c r="X30" s="327">
        <v>19410.860236862631</v>
      </c>
      <c r="Y30" s="327">
        <v>19408.919150838945</v>
      </c>
      <c r="Z30" s="327">
        <v>19406.978258923857</v>
      </c>
      <c r="AA30" s="327">
        <v>19405.037561097968</v>
      </c>
      <c r="AB30" s="327">
        <v>19403.09705734186</v>
      </c>
      <c r="AC30" s="328">
        <v>19401.156747636123</v>
      </c>
    </row>
    <row r="31" spans="1:29" s="63" customFormat="1" ht="17.100000000000001" customHeight="1" thickBot="1" x14ac:dyDescent="0.25">
      <c r="A31" s="214">
        <v>710</v>
      </c>
      <c r="B31" s="304" t="s">
        <v>886</v>
      </c>
      <c r="C31" s="290"/>
      <c r="D31" s="290" t="s">
        <v>123</v>
      </c>
      <c r="E31" s="329">
        <f>E21-SUM(E24:E30)</f>
        <v>0</v>
      </c>
      <c r="F31" s="329">
        <f t="shared" ref="F31:AC31" si="1">F21-SUM(F24:F30)</f>
        <v>0</v>
      </c>
      <c r="G31" s="329">
        <f t="shared" si="1"/>
        <v>794270.66573103331</v>
      </c>
      <c r="H31" s="329">
        <f t="shared" si="1"/>
        <v>1956967.6779063041</v>
      </c>
      <c r="I31" s="329">
        <f t="shared" si="1"/>
        <v>2714198.4382040808</v>
      </c>
      <c r="J31" s="329">
        <f t="shared" si="1"/>
        <v>3146113.5664308425</v>
      </c>
      <c r="K31" s="329">
        <f t="shared" si="1"/>
        <v>3374320.1348089487</v>
      </c>
      <c r="L31" s="329">
        <f t="shared" si="1"/>
        <v>3576654.0596620282</v>
      </c>
      <c r="M31" s="329">
        <f t="shared" si="1"/>
        <v>3611346.1597151589</v>
      </c>
      <c r="N31" s="329">
        <f t="shared" si="1"/>
        <v>3646413.8561432781</v>
      </c>
      <c r="O31" s="329">
        <f t="shared" si="1"/>
        <v>3669597.4939960754</v>
      </c>
      <c r="P31" s="329">
        <f t="shared" si="1"/>
        <v>3748722.2950237477</v>
      </c>
      <c r="Q31" s="329">
        <f t="shared" si="1"/>
        <v>3828798.2525361842</v>
      </c>
      <c r="R31" s="329">
        <f t="shared" si="1"/>
        <v>3853411.2585244253</v>
      </c>
      <c r="S31" s="329">
        <f t="shared" si="1"/>
        <v>3878271.7620701999</v>
      </c>
      <c r="T31" s="329">
        <f t="shared" si="1"/>
        <v>3903382.2380123357</v>
      </c>
      <c r="U31" s="329">
        <f t="shared" si="1"/>
        <v>3928745.1859380626</v>
      </c>
      <c r="V31" s="329">
        <f t="shared" si="1"/>
        <v>3954363.1304304898</v>
      </c>
      <c r="W31" s="329">
        <f t="shared" si="1"/>
        <v>3980238.6213185792</v>
      </c>
      <c r="X31" s="329">
        <f t="shared" si="1"/>
        <v>4006374.2339295903</v>
      </c>
      <c r="Y31" s="329">
        <f t="shared" si="1"/>
        <v>4032772.5693440745</v>
      </c>
      <c r="Z31" s="329">
        <f t="shared" si="1"/>
        <v>4059436.2546533928</v>
      </c>
      <c r="AA31" s="329">
        <f t="shared" si="1"/>
        <v>4086367.9432198461</v>
      </c>
      <c r="AB31" s="329">
        <f t="shared" si="1"/>
        <v>4113570.3149393573</v>
      </c>
      <c r="AC31" s="330">
        <f t="shared" si="1"/>
        <v>4141046.0765068391</v>
      </c>
    </row>
    <row r="32" spans="1:29" s="45" customFormat="1" ht="12.75" customHeight="1" x14ac:dyDescent="0.2">
      <c r="A32" s="214" t="s">
        <v>435</v>
      </c>
      <c r="B32" s="296" t="s">
        <v>887</v>
      </c>
      <c r="C32" s="246" t="s">
        <v>888</v>
      </c>
      <c r="D32" s="246" t="s">
        <v>123</v>
      </c>
      <c r="E32" s="298" cm="1">
        <f t="array" ref="E32:AC32">TRANSPOSE(B1_Berechnungen!AB$44:AB$68)</f>
        <v>0</v>
      </c>
      <c r="F32" s="299">
        <v>0</v>
      </c>
      <c r="G32" s="299">
        <v>219239.89199999999</v>
      </c>
      <c r="H32" s="299">
        <v>246035.87879999998</v>
      </c>
      <c r="I32" s="299">
        <v>248496.23758799999</v>
      </c>
      <c r="J32" s="299">
        <v>250981.19996387995</v>
      </c>
      <c r="K32" s="299">
        <v>253491.01196351886</v>
      </c>
      <c r="L32" s="299">
        <v>256025.92208315397</v>
      </c>
      <c r="M32" s="299">
        <v>258586.18130398556</v>
      </c>
      <c r="N32" s="299">
        <v>261172.04311702546</v>
      </c>
      <c r="O32" s="299">
        <v>263783.76354819571</v>
      </c>
      <c r="P32" s="299">
        <v>266421.60118367756</v>
      </c>
      <c r="Q32" s="299">
        <v>269085.81719551439</v>
      </c>
      <c r="R32" s="299">
        <v>271776.67536746955</v>
      </c>
      <c r="S32" s="299">
        <v>274494.44212114427</v>
      </c>
      <c r="T32" s="299">
        <v>277239.38654235564</v>
      </c>
      <c r="U32" s="299">
        <v>280011.78040777927</v>
      </c>
      <c r="V32" s="299">
        <v>282811.89821185707</v>
      </c>
      <c r="W32" s="331">
        <v>285640.01719397563</v>
      </c>
      <c r="X32" s="331">
        <v>288496.41736591537</v>
      </c>
      <c r="Y32" s="331">
        <v>291381.38153957453</v>
      </c>
      <c r="Z32" s="331">
        <v>294295.19535497029</v>
      </c>
      <c r="AA32" s="331">
        <v>297238.14730852004</v>
      </c>
      <c r="AB32" s="331">
        <v>300210.52878160519</v>
      </c>
      <c r="AC32" s="332">
        <v>303212.63406942133</v>
      </c>
    </row>
    <row r="33" spans="1:29" s="45" customFormat="1" ht="12.75" customHeight="1" x14ac:dyDescent="0.2">
      <c r="A33" s="214" t="s">
        <v>436</v>
      </c>
      <c r="B33" s="293"/>
      <c r="C33" s="292" t="s">
        <v>102</v>
      </c>
      <c r="D33" s="292" t="s">
        <v>123</v>
      </c>
      <c r="E33" s="105" cm="1">
        <f t="array" ref="E33:AC33">TRANSPOSE(B1_Berechnungen!AC$44:AC$68)</f>
        <v>0</v>
      </c>
      <c r="F33" s="294">
        <v>0</v>
      </c>
      <c r="G33" s="294">
        <v>406713.87</v>
      </c>
      <c r="H33" s="294">
        <v>456423.34299999999</v>
      </c>
      <c r="I33" s="294">
        <v>460987.57643000002</v>
      </c>
      <c r="J33" s="294">
        <v>465597.4521942999</v>
      </c>
      <c r="K33" s="294">
        <v>470253.42671624303</v>
      </c>
      <c r="L33" s="294">
        <v>474955.96098340536</v>
      </c>
      <c r="M33" s="294">
        <v>479705.52059323952</v>
      </c>
      <c r="N33" s="294">
        <v>484502.57579917199</v>
      </c>
      <c r="O33" s="294">
        <v>489347.6015571637</v>
      </c>
      <c r="P33" s="294">
        <v>494241.07757273526</v>
      </c>
      <c r="Q33" s="294">
        <v>499183.48834846256</v>
      </c>
      <c r="R33" s="294">
        <v>504175.32323194726</v>
      </c>
      <c r="S33" s="294">
        <v>509217.07646426675</v>
      </c>
      <c r="T33" s="294">
        <v>514309.24722890928</v>
      </c>
      <c r="U33" s="294">
        <v>519452.33970119857</v>
      </c>
      <c r="V33" s="294">
        <v>524646.86309821054</v>
      </c>
      <c r="W33" s="325">
        <v>529893.33172919275</v>
      </c>
      <c r="X33" s="325">
        <v>535192.26504648454</v>
      </c>
      <c r="Y33" s="325">
        <v>540544.18769694935</v>
      </c>
      <c r="Z33" s="325">
        <v>545949.62957391888</v>
      </c>
      <c r="AA33" s="325">
        <v>551409.12586965819</v>
      </c>
      <c r="AB33" s="325">
        <v>556923.21712835471</v>
      </c>
      <c r="AC33" s="326">
        <v>562492.44929963839</v>
      </c>
    </row>
    <row r="34" spans="1:29" s="45" customFormat="1" ht="12.75" customHeight="1" x14ac:dyDescent="0.2">
      <c r="A34" s="214">
        <v>575</v>
      </c>
      <c r="B34" s="293"/>
      <c r="C34" s="292" t="s">
        <v>36</v>
      </c>
      <c r="D34" s="292" t="s">
        <v>123</v>
      </c>
      <c r="E34" s="105" cm="1">
        <f t="array" ref="E34:AC34">TRANSPOSE(B1_Berechnungen!AD$44:AD$68)</f>
        <v>230000</v>
      </c>
      <c r="F34" s="294">
        <v>232300</v>
      </c>
      <c r="G34" s="294">
        <v>234623</v>
      </c>
      <c r="H34" s="294">
        <v>236969.22999999998</v>
      </c>
      <c r="I34" s="294">
        <v>239338.92230000001</v>
      </c>
      <c r="J34" s="294">
        <v>241732.31152299998</v>
      </c>
      <c r="K34" s="294">
        <v>244149.63463823005</v>
      </c>
      <c r="L34" s="294">
        <v>246591.13098461227</v>
      </c>
      <c r="M34" s="294">
        <v>249057.04229445846</v>
      </c>
      <c r="N34" s="294">
        <v>251547.61271740304</v>
      </c>
      <c r="O34" s="294">
        <v>254063.08884457708</v>
      </c>
      <c r="P34" s="294">
        <v>256603.71973302279</v>
      </c>
      <c r="Q34" s="294">
        <v>259169.75693035306</v>
      </c>
      <c r="R34" s="294">
        <v>261761.45449965657</v>
      </c>
      <c r="S34" s="294">
        <v>264379.06904465321</v>
      </c>
      <c r="T34" s="294">
        <v>267022.85973509966</v>
      </c>
      <c r="U34" s="294">
        <v>269693.08833245072</v>
      </c>
      <c r="V34" s="294">
        <v>272390.01921577525</v>
      </c>
      <c r="W34" s="325">
        <v>275113.91940793302</v>
      </c>
      <c r="X34" s="325">
        <v>277865.05860201229</v>
      </c>
      <c r="Y34" s="325">
        <v>280643.70918803243</v>
      </c>
      <c r="Z34" s="325">
        <v>283450.14627991273</v>
      </c>
      <c r="AA34" s="325">
        <v>286284.64774271194</v>
      </c>
      <c r="AB34" s="325">
        <v>289147.49422013899</v>
      </c>
      <c r="AC34" s="326">
        <v>292038.96916234045</v>
      </c>
    </row>
    <row r="35" spans="1:29" s="45" customFormat="1" ht="12.75" customHeight="1" x14ac:dyDescent="0.2">
      <c r="A35" s="214">
        <v>576</v>
      </c>
      <c r="B35" s="302"/>
      <c r="C35" s="303" t="s">
        <v>103</v>
      </c>
      <c r="D35" s="303" t="s">
        <v>123</v>
      </c>
      <c r="E35" s="311" cm="1">
        <f t="array" ref="E35:AC35">TRANSPOSE(B1_Berechnungen!AE$44:AE$68)</f>
        <v>0</v>
      </c>
      <c r="F35" s="312">
        <v>0</v>
      </c>
      <c r="G35" s="312">
        <v>0</v>
      </c>
      <c r="H35" s="312">
        <v>0</v>
      </c>
      <c r="I35" s="312">
        <v>0</v>
      </c>
      <c r="J35" s="312">
        <v>0</v>
      </c>
      <c r="K35" s="312">
        <v>0</v>
      </c>
      <c r="L35" s="312">
        <v>0</v>
      </c>
      <c r="M35" s="312">
        <v>0</v>
      </c>
      <c r="N35" s="312">
        <v>0</v>
      </c>
      <c r="O35" s="312">
        <v>0</v>
      </c>
      <c r="P35" s="312">
        <v>0</v>
      </c>
      <c r="Q35" s="312">
        <v>0</v>
      </c>
      <c r="R35" s="312">
        <v>0</v>
      </c>
      <c r="S35" s="312">
        <v>0</v>
      </c>
      <c r="T35" s="312">
        <v>0</v>
      </c>
      <c r="U35" s="312">
        <v>0</v>
      </c>
      <c r="V35" s="312">
        <v>0</v>
      </c>
      <c r="W35" s="327">
        <v>0</v>
      </c>
      <c r="X35" s="327">
        <v>0</v>
      </c>
      <c r="Y35" s="327">
        <v>0</v>
      </c>
      <c r="Z35" s="327">
        <v>0</v>
      </c>
      <c r="AA35" s="327">
        <v>0</v>
      </c>
      <c r="AB35" s="327">
        <v>0</v>
      </c>
      <c r="AC35" s="328">
        <v>0</v>
      </c>
    </row>
    <row r="36" spans="1:29" s="45" customFormat="1" ht="17.100000000000001" customHeight="1" thickBot="1" x14ac:dyDescent="0.25">
      <c r="A36" s="214">
        <v>711</v>
      </c>
      <c r="B36" s="304" t="s">
        <v>894</v>
      </c>
      <c r="C36" s="306"/>
      <c r="D36" s="290" t="s">
        <v>123</v>
      </c>
      <c r="E36" s="329">
        <f>E31-SUM(E32:E35)</f>
        <v>-230000</v>
      </c>
      <c r="F36" s="329">
        <f t="shared" ref="F36:AC36" si="2">F31-SUM(F32:F35)</f>
        <v>-232300</v>
      </c>
      <c r="G36" s="329">
        <f t="shared" si="2"/>
        <v>-66306.096268966678</v>
      </c>
      <c r="H36" s="329">
        <f t="shared" si="2"/>
        <v>1017539.2261063042</v>
      </c>
      <c r="I36" s="329">
        <f t="shared" si="2"/>
        <v>1765375.7018860807</v>
      </c>
      <c r="J36" s="329">
        <f t="shared" si="2"/>
        <v>2187802.6027496625</v>
      </c>
      <c r="K36" s="329">
        <f t="shared" si="2"/>
        <v>2406426.0614909567</v>
      </c>
      <c r="L36" s="329">
        <f t="shared" si="2"/>
        <v>2599081.0456108567</v>
      </c>
      <c r="M36" s="329">
        <f t="shared" si="2"/>
        <v>2623997.415523475</v>
      </c>
      <c r="N36" s="329">
        <f t="shared" si="2"/>
        <v>2649191.6245096773</v>
      </c>
      <c r="O36" s="329">
        <f t="shared" si="2"/>
        <v>2662403.0400461387</v>
      </c>
      <c r="P36" s="329">
        <f t="shared" si="2"/>
        <v>2731455.8965343121</v>
      </c>
      <c r="Q36" s="329">
        <f t="shared" si="2"/>
        <v>2801359.1900618542</v>
      </c>
      <c r="R36" s="329">
        <f t="shared" si="2"/>
        <v>2815697.805425352</v>
      </c>
      <c r="S36" s="329">
        <f t="shared" si="2"/>
        <v>2830181.1744401357</v>
      </c>
      <c r="T36" s="329">
        <f t="shared" si="2"/>
        <v>2844810.7445059712</v>
      </c>
      <c r="U36" s="329">
        <f t="shared" si="2"/>
        <v>2859587.9774966342</v>
      </c>
      <c r="V36" s="329">
        <f t="shared" si="2"/>
        <v>2874514.3499046471</v>
      </c>
      <c r="W36" s="329">
        <f t="shared" si="2"/>
        <v>2889591.3529874776</v>
      </c>
      <c r="X36" s="329">
        <f t="shared" si="2"/>
        <v>2904820.4929151782</v>
      </c>
      <c r="Y36" s="329">
        <f t="shared" si="2"/>
        <v>2920203.2909195181</v>
      </c>
      <c r="Z36" s="329">
        <f t="shared" si="2"/>
        <v>2935741.2834445909</v>
      </c>
      <c r="AA36" s="329">
        <f t="shared" si="2"/>
        <v>2951436.0222989558</v>
      </c>
      <c r="AB36" s="329">
        <f t="shared" si="2"/>
        <v>2967289.0748092583</v>
      </c>
      <c r="AC36" s="330">
        <f t="shared" si="2"/>
        <v>2983302.0239754389</v>
      </c>
    </row>
    <row r="37" spans="1:29" s="45" customFormat="1" ht="12.75" customHeight="1" x14ac:dyDescent="0.2">
      <c r="A37" s="214">
        <v>585</v>
      </c>
      <c r="B37" s="307"/>
      <c r="C37" s="1" t="s">
        <v>97</v>
      </c>
      <c r="D37" s="1" t="s">
        <v>123</v>
      </c>
      <c r="E37" s="333" cm="1">
        <f t="array" ref="E37:AC37">TRANSPOSE(B1_Berechnungen!AM$44:AM$68)</f>
        <v>0</v>
      </c>
      <c r="F37" s="334">
        <v>0</v>
      </c>
      <c r="G37" s="334">
        <v>0</v>
      </c>
      <c r="H37" s="334">
        <v>1160858.1653520304</v>
      </c>
      <c r="I37" s="334">
        <v>1160858.1653520304</v>
      </c>
      <c r="J37" s="334">
        <v>1160858.1653520304</v>
      </c>
      <c r="K37" s="334">
        <v>1160858.1653520304</v>
      </c>
      <c r="L37" s="334">
        <v>1160858.1653520304</v>
      </c>
      <c r="M37" s="334">
        <v>1160858.1653520304</v>
      </c>
      <c r="N37" s="334">
        <v>1160858.1653520304</v>
      </c>
      <c r="O37" s="334">
        <v>1160858.1653520304</v>
      </c>
      <c r="P37" s="334">
        <v>1160858.1653520304</v>
      </c>
      <c r="Q37" s="334">
        <v>1160858.1653520304</v>
      </c>
      <c r="R37" s="334">
        <v>1160858.1653520304</v>
      </c>
      <c r="S37" s="334">
        <v>1160858.1653520304</v>
      </c>
      <c r="T37" s="334">
        <v>1160858.1653520304</v>
      </c>
      <c r="U37" s="334">
        <v>1160858.1653520304</v>
      </c>
      <c r="V37" s="334">
        <v>1160858.1653520304</v>
      </c>
      <c r="W37" s="335">
        <v>1165150.6708285636</v>
      </c>
      <c r="X37" s="335">
        <v>1165150.6708285636</v>
      </c>
      <c r="Y37" s="335">
        <v>1165150.6708285636</v>
      </c>
      <c r="Z37" s="335">
        <v>1165150.6708285636</v>
      </c>
      <c r="AA37" s="335">
        <v>1165150.6708285636</v>
      </c>
      <c r="AB37" s="335">
        <v>1338386.035709094</v>
      </c>
      <c r="AC37" s="336">
        <v>1338386.035709094</v>
      </c>
    </row>
    <row r="38" spans="1:29" s="45" customFormat="1" ht="17.100000000000001" customHeight="1" thickBot="1" x14ac:dyDescent="0.25">
      <c r="A38" s="214">
        <v>712</v>
      </c>
      <c r="B38" s="304" t="s">
        <v>895</v>
      </c>
      <c r="C38" s="306"/>
      <c r="D38" s="290" t="s">
        <v>123</v>
      </c>
      <c r="E38" s="329">
        <f>E36-E37</f>
        <v>-230000</v>
      </c>
      <c r="F38" s="329">
        <f t="shared" ref="F38:AC38" si="3">F36-F37</f>
        <v>-232300</v>
      </c>
      <c r="G38" s="329">
        <f t="shared" si="3"/>
        <v>-66306.096268966678</v>
      </c>
      <c r="H38" s="329">
        <f t="shared" si="3"/>
        <v>-143318.93924572621</v>
      </c>
      <c r="I38" s="329">
        <f t="shared" si="3"/>
        <v>604517.53653405025</v>
      </c>
      <c r="J38" s="329">
        <f t="shared" si="3"/>
        <v>1026944.437397632</v>
      </c>
      <c r="K38" s="329">
        <f t="shared" si="3"/>
        <v>1245567.8961389263</v>
      </c>
      <c r="L38" s="329">
        <f t="shared" si="3"/>
        <v>1438222.8802588263</v>
      </c>
      <c r="M38" s="329">
        <f t="shared" si="3"/>
        <v>1463139.2501714446</v>
      </c>
      <c r="N38" s="329">
        <f t="shared" si="3"/>
        <v>1488333.4591576469</v>
      </c>
      <c r="O38" s="329">
        <f t="shared" si="3"/>
        <v>1501544.8746941083</v>
      </c>
      <c r="P38" s="329">
        <f t="shared" si="3"/>
        <v>1570597.7311822816</v>
      </c>
      <c r="Q38" s="329">
        <f t="shared" si="3"/>
        <v>1640501.0247098238</v>
      </c>
      <c r="R38" s="329">
        <f t="shared" si="3"/>
        <v>1654839.6400733215</v>
      </c>
      <c r="S38" s="329">
        <f t="shared" si="3"/>
        <v>1669323.0090881053</v>
      </c>
      <c r="T38" s="329">
        <f t="shared" si="3"/>
        <v>1683952.5791539408</v>
      </c>
      <c r="U38" s="329">
        <f t="shared" si="3"/>
        <v>1698729.8121446038</v>
      </c>
      <c r="V38" s="329">
        <f t="shared" si="3"/>
        <v>1713656.1845526167</v>
      </c>
      <c r="W38" s="329">
        <f t="shared" si="3"/>
        <v>1724440.6821589139</v>
      </c>
      <c r="X38" s="329">
        <f t="shared" si="3"/>
        <v>1739669.8220866146</v>
      </c>
      <c r="Y38" s="329">
        <f t="shared" si="3"/>
        <v>1755052.6200909545</v>
      </c>
      <c r="Z38" s="329">
        <f t="shared" si="3"/>
        <v>1770590.6126160272</v>
      </c>
      <c r="AA38" s="329">
        <f t="shared" si="3"/>
        <v>1786285.3514703922</v>
      </c>
      <c r="AB38" s="329">
        <f t="shared" si="3"/>
        <v>1628903.0391001643</v>
      </c>
      <c r="AC38" s="330">
        <f t="shared" si="3"/>
        <v>1644915.9882663449</v>
      </c>
    </row>
    <row r="39" spans="1:29" s="45" customFormat="1" ht="12.75" customHeight="1" x14ac:dyDescent="0.2">
      <c r="A39" s="214">
        <v>578</v>
      </c>
      <c r="B39" s="305"/>
      <c r="C39" s="246" t="s">
        <v>369</v>
      </c>
      <c r="D39" s="246" t="s">
        <v>123</v>
      </c>
      <c r="E39" s="298" cm="1">
        <f t="array" ref="E39:AC39">TRANSPOSE(B1_Berechnungen!AG$44:AG$68)</f>
        <v>81900</v>
      </c>
      <c r="F39" s="299">
        <v>511650</v>
      </c>
      <c r="G39" s="299">
        <v>900000</v>
      </c>
      <c r="H39" s="299">
        <v>862500</v>
      </c>
      <c r="I39" s="299">
        <v>796153.84615384624</v>
      </c>
      <c r="J39" s="299">
        <v>729807.69230769249</v>
      </c>
      <c r="K39" s="299">
        <v>663461.5384615385</v>
      </c>
      <c r="L39" s="299">
        <v>634615.38461538474</v>
      </c>
      <c r="M39" s="299">
        <v>605769.23076923098</v>
      </c>
      <c r="N39" s="299">
        <v>576923.07692307723</v>
      </c>
      <c r="O39" s="299">
        <v>548076.92307692335</v>
      </c>
      <c r="P39" s="299">
        <v>519230.7692307696</v>
      </c>
      <c r="Q39" s="299">
        <v>490384.61538461572</v>
      </c>
      <c r="R39" s="299">
        <v>461538.46153846191</v>
      </c>
      <c r="S39" s="299">
        <v>432692.30769230798</v>
      </c>
      <c r="T39" s="299">
        <v>403846.15384615416</v>
      </c>
      <c r="U39" s="299">
        <v>375000.00000000029</v>
      </c>
      <c r="V39" s="299">
        <v>346153.84615384636</v>
      </c>
      <c r="W39" s="331">
        <v>317307.69230769255</v>
      </c>
      <c r="X39" s="331">
        <v>288461.53846153873</v>
      </c>
      <c r="Y39" s="331">
        <v>259615.38461538486</v>
      </c>
      <c r="Z39" s="331">
        <v>230769.23076923098</v>
      </c>
      <c r="AA39" s="331">
        <v>201923.07692307711</v>
      </c>
      <c r="AB39" s="331">
        <v>173076.92307692327</v>
      </c>
      <c r="AC39" s="332">
        <v>144230.76923076939</v>
      </c>
    </row>
    <row r="40" spans="1:29" s="45" customFormat="1" ht="12.75" customHeight="1" x14ac:dyDescent="0.2">
      <c r="A40" s="214">
        <v>713</v>
      </c>
      <c r="B40" s="293"/>
      <c r="C40" s="292" t="s">
        <v>889</v>
      </c>
      <c r="D40" s="292" t="s">
        <v>123</v>
      </c>
      <c r="E40" s="337">
        <v>0</v>
      </c>
      <c r="F40" s="337">
        <v>0</v>
      </c>
      <c r="G40" s="337">
        <v>0</v>
      </c>
      <c r="H40" s="337">
        <v>0</v>
      </c>
      <c r="I40" s="337">
        <v>0</v>
      </c>
      <c r="J40" s="337">
        <v>0</v>
      </c>
      <c r="K40" s="337">
        <v>0</v>
      </c>
      <c r="L40" s="337">
        <v>0</v>
      </c>
      <c r="M40" s="337">
        <v>0</v>
      </c>
      <c r="N40" s="337">
        <v>0</v>
      </c>
      <c r="O40" s="337">
        <v>0</v>
      </c>
      <c r="P40" s="337">
        <v>0</v>
      </c>
      <c r="Q40" s="337">
        <v>0</v>
      </c>
      <c r="R40" s="337">
        <v>0</v>
      </c>
      <c r="S40" s="337">
        <v>0</v>
      </c>
      <c r="T40" s="337">
        <v>0</v>
      </c>
      <c r="U40" s="337">
        <v>0</v>
      </c>
      <c r="V40" s="337">
        <v>0</v>
      </c>
      <c r="W40" s="337">
        <v>0</v>
      </c>
      <c r="X40" s="337">
        <v>0</v>
      </c>
      <c r="Y40" s="337">
        <v>0</v>
      </c>
      <c r="Z40" s="337">
        <v>0</v>
      </c>
      <c r="AA40" s="337">
        <v>0</v>
      </c>
      <c r="AB40" s="337">
        <v>0</v>
      </c>
      <c r="AC40" s="338">
        <v>0</v>
      </c>
    </row>
    <row r="41" spans="1:29" s="45" customFormat="1" ht="12.75" customHeight="1" x14ac:dyDescent="0.2">
      <c r="A41" s="214">
        <v>714</v>
      </c>
      <c r="B41" s="302"/>
      <c r="C41" s="303" t="s">
        <v>890</v>
      </c>
      <c r="D41" s="303" t="s">
        <v>123</v>
      </c>
      <c r="E41" s="339">
        <v>0</v>
      </c>
      <c r="F41" s="339">
        <v>0</v>
      </c>
      <c r="G41" s="339">
        <v>0</v>
      </c>
      <c r="H41" s="339">
        <v>0</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40">
        <v>0</v>
      </c>
    </row>
    <row r="42" spans="1:29" s="45" customFormat="1" ht="17.100000000000001" customHeight="1" thickBot="1" x14ac:dyDescent="0.25">
      <c r="A42" s="214">
        <v>715</v>
      </c>
      <c r="B42" s="308" t="s">
        <v>891</v>
      </c>
      <c r="C42" s="309"/>
      <c r="D42" s="310" t="s">
        <v>123</v>
      </c>
      <c r="E42" s="314">
        <f>E38-SUM(E39:E41)</f>
        <v>-311900</v>
      </c>
      <c r="F42" s="314">
        <f t="shared" ref="F42:AC42" si="4">F38-SUM(F39:F41)</f>
        <v>-743950</v>
      </c>
      <c r="G42" s="314">
        <f t="shared" si="4"/>
        <v>-966306.09626896668</v>
      </c>
      <c r="H42" s="314">
        <f t="shared" si="4"/>
        <v>-1005818.9392457262</v>
      </c>
      <c r="I42" s="314">
        <f t="shared" si="4"/>
        <v>-191636.309619796</v>
      </c>
      <c r="J42" s="314">
        <f t="shared" si="4"/>
        <v>297136.74508993956</v>
      </c>
      <c r="K42" s="314">
        <f t="shared" si="4"/>
        <v>582106.35767738777</v>
      </c>
      <c r="L42" s="314">
        <f t="shared" si="4"/>
        <v>803607.49564344157</v>
      </c>
      <c r="M42" s="314">
        <f t="shared" si="4"/>
        <v>857370.01940221363</v>
      </c>
      <c r="N42" s="314">
        <f t="shared" si="4"/>
        <v>911410.38223456964</v>
      </c>
      <c r="O42" s="314">
        <f t="shared" si="4"/>
        <v>953467.95161718491</v>
      </c>
      <c r="P42" s="314">
        <f t="shared" si="4"/>
        <v>1051366.9619515119</v>
      </c>
      <c r="Q42" s="314">
        <f t="shared" si="4"/>
        <v>1150116.409325208</v>
      </c>
      <c r="R42" s="314">
        <f t="shared" si="4"/>
        <v>1193301.1785348596</v>
      </c>
      <c r="S42" s="314">
        <f t="shared" si="4"/>
        <v>1236630.7013957973</v>
      </c>
      <c r="T42" s="314">
        <f t="shared" si="4"/>
        <v>1280106.4253077866</v>
      </c>
      <c r="U42" s="314">
        <f t="shared" si="4"/>
        <v>1323729.8121446036</v>
      </c>
      <c r="V42" s="314">
        <f t="shared" si="4"/>
        <v>1367502.3383987704</v>
      </c>
      <c r="W42" s="314">
        <f t="shared" si="4"/>
        <v>1407132.9898512214</v>
      </c>
      <c r="X42" s="314">
        <f t="shared" si="4"/>
        <v>1451208.2836250758</v>
      </c>
      <c r="Y42" s="314">
        <f t="shared" si="4"/>
        <v>1495437.2354755695</v>
      </c>
      <c r="Z42" s="314">
        <f t="shared" si="4"/>
        <v>1539821.3818467963</v>
      </c>
      <c r="AA42" s="314">
        <f t="shared" si="4"/>
        <v>1584362.2745473152</v>
      </c>
      <c r="AB42" s="314">
        <f t="shared" si="4"/>
        <v>1455826.1160232411</v>
      </c>
      <c r="AC42" s="315">
        <f t="shared" si="4"/>
        <v>1500685.2190355754</v>
      </c>
    </row>
    <row r="43" spans="1:29" s="45" customFormat="1" ht="17.100000000000001" customHeight="1" thickTop="1" thickBot="1" x14ac:dyDescent="0.25">
      <c r="A43" s="214">
        <v>716</v>
      </c>
      <c r="B43" s="341" t="s">
        <v>892</v>
      </c>
      <c r="C43" s="342"/>
      <c r="D43" s="343" t="s">
        <v>123</v>
      </c>
      <c r="E43" s="344">
        <f>E42</f>
        <v>-311900</v>
      </c>
      <c r="F43" s="344">
        <f>E43+F42</f>
        <v>-1055850</v>
      </c>
      <c r="G43" s="344">
        <f t="shared" ref="G43:AC43" si="5">F43+G42</f>
        <v>-2022156.0962689668</v>
      </c>
      <c r="H43" s="344">
        <f t="shared" si="5"/>
        <v>-3027975.0355146928</v>
      </c>
      <c r="I43" s="344">
        <f t="shared" si="5"/>
        <v>-3219611.3451344888</v>
      </c>
      <c r="J43" s="344">
        <f t="shared" si="5"/>
        <v>-2922474.6000445494</v>
      </c>
      <c r="K43" s="344">
        <f t="shared" si="5"/>
        <v>-2340368.2423671614</v>
      </c>
      <c r="L43" s="344">
        <f t="shared" si="5"/>
        <v>-1536760.7467237199</v>
      </c>
      <c r="M43" s="344">
        <f t="shared" si="5"/>
        <v>-679390.72732150625</v>
      </c>
      <c r="N43" s="344">
        <f t="shared" si="5"/>
        <v>232019.65491306339</v>
      </c>
      <c r="O43" s="344">
        <f t="shared" si="5"/>
        <v>1185487.6065302482</v>
      </c>
      <c r="P43" s="344">
        <f t="shared" si="5"/>
        <v>2236854.5684817601</v>
      </c>
      <c r="Q43" s="344">
        <f t="shared" si="5"/>
        <v>3386970.9778069681</v>
      </c>
      <c r="R43" s="344">
        <f t="shared" si="5"/>
        <v>4580272.1563418275</v>
      </c>
      <c r="S43" s="344">
        <f t="shared" si="5"/>
        <v>5816902.857737625</v>
      </c>
      <c r="T43" s="344">
        <f t="shared" si="5"/>
        <v>7097009.2830454111</v>
      </c>
      <c r="U43" s="344">
        <f t="shared" si="5"/>
        <v>8420739.0951900147</v>
      </c>
      <c r="V43" s="344">
        <f t="shared" si="5"/>
        <v>9788241.4335887842</v>
      </c>
      <c r="W43" s="344">
        <f t="shared" si="5"/>
        <v>11195374.423440006</v>
      </c>
      <c r="X43" s="344">
        <f t="shared" si="5"/>
        <v>12646582.707065081</v>
      </c>
      <c r="Y43" s="344">
        <f t="shared" si="5"/>
        <v>14142019.942540651</v>
      </c>
      <c r="Z43" s="344">
        <f t="shared" si="5"/>
        <v>15681841.324387448</v>
      </c>
      <c r="AA43" s="344">
        <f t="shared" si="5"/>
        <v>17266203.598934762</v>
      </c>
      <c r="AB43" s="344">
        <f t="shared" si="5"/>
        <v>18722029.714958005</v>
      </c>
      <c r="AC43" s="344">
        <f t="shared" si="5"/>
        <v>20222714.933993582</v>
      </c>
    </row>
    <row r="44" spans="1:29" s="45" customFormat="1" ht="12.75" customHeight="1" thickTop="1" x14ac:dyDescent="0.2">
      <c r="B44" s="1"/>
      <c r="C44" s="1"/>
      <c r="D44" s="1"/>
      <c r="E44" s="1"/>
      <c r="F44" s="50"/>
      <c r="G44" s="50"/>
      <c r="H44" s="50"/>
      <c r="I44" s="50"/>
      <c r="J44" s="50"/>
      <c r="K44" s="50"/>
      <c r="L44" s="50"/>
      <c r="M44" s="50"/>
      <c r="N44" s="50"/>
      <c r="O44" s="50"/>
      <c r="P44" s="50"/>
      <c r="Q44" s="50"/>
      <c r="R44" s="50"/>
      <c r="S44" s="50"/>
      <c r="T44" s="50"/>
      <c r="U44" s="50"/>
      <c r="V44" s="50"/>
    </row>
    <row r="45" spans="1:29" s="45" customFormat="1" ht="12.75" customHeight="1" x14ac:dyDescent="0.2">
      <c r="B45" s="1"/>
      <c r="C45" s="1"/>
      <c r="D45" s="1"/>
      <c r="E45" s="1"/>
      <c r="F45" s="50"/>
      <c r="G45" s="50"/>
      <c r="H45" s="50"/>
      <c r="I45" s="50"/>
      <c r="J45" s="50"/>
      <c r="K45" s="50"/>
      <c r="L45" s="50"/>
      <c r="M45" s="50"/>
      <c r="N45" s="50"/>
      <c r="O45" s="50"/>
      <c r="P45" s="50"/>
      <c r="Q45" s="50"/>
      <c r="R45" s="50"/>
      <c r="S45" s="50"/>
      <c r="T45" s="50"/>
      <c r="U45" s="50"/>
      <c r="V45" s="50"/>
    </row>
    <row r="46" spans="1:29" s="45" customFormat="1" ht="12.75" customHeight="1" x14ac:dyDescent="0.2">
      <c r="B46" s="1"/>
      <c r="C46" s="1"/>
      <c r="D46" s="1"/>
      <c r="E46" s="1"/>
      <c r="F46" s="50"/>
      <c r="G46" s="50"/>
      <c r="H46" s="50"/>
      <c r="I46" s="50"/>
      <c r="J46" s="50"/>
      <c r="K46" s="50"/>
      <c r="L46" s="50"/>
      <c r="M46" s="50"/>
      <c r="N46" s="50"/>
      <c r="O46" s="50"/>
      <c r="P46" s="50"/>
      <c r="Q46" s="50"/>
      <c r="R46" s="50"/>
      <c r="S46" s="50"/>
      <c r="T46" s="50"/>
      <c r="U46" s="50"/>
      <c r="V46" s="50"/>
    </row>
    <row r="47" spans="1:29" s="45" customFormat="1" ht="12.75" customHeight="1" x14ac:dyDescent="0.2">
      <c r="B47" s="1"/>
      <c r="C47" s="1"/>
      <c r="D47" s="1"/>
      <c r="E47" s="1"/>
      <c r="F47" s="50"/>
      <c r="G47" s="50"/>
      <c r="H47" s="50"/>
      <c r="I47" s="50"/>
      <c r="J47" s="50"/>
      <c r="K47" s="50"/>
      <c r="L47" s="50"/>
      <c r="M47" s="50"/>
      <c r="N47" s="50"/>
      <c r="O47" s="50"/>
      <c r="P47" s="50"/>
      <c r="Q47" s="50"/>
      <c r="R47" s="50"/>
      <c r="S47" s="50"/>
      <c r="T47" s="50"/>
      <c r="U47" s="50"/>
      <c r="V47" s="50"/>
    </row>
  </sheetData>
  <sheetProtection algorithmName="SHA-512" hashValue="23m7yIDN9FPd8BWYpg16/pc0Qqm8m9Dsi+G2WY6ztEDbsVvK2LFBK0HUM+i8XmTycU8CZKSnxX/7yBxziXrFDQ==" saltValue="LSWH3WyhPdcRzdU1YByEcg==" spinCount="100000" sheet="1" objects="1" scenarios="1"/>
  <mergeCells count="2">
    <mergeCell ref="C4:H4"/>
    <mergeCell ref="C13:G1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1"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42578125" style="11" customWidth="1"/>
    <col min="2" max="2" width="43.5703125" style="11" customWidth="1"/>
    <col min="3" max="3" width="41.28515625" style="11" customWidth="1"/>
    <col min="4" max="4" width="16.85546875" style="11" customWidth="1"/>
    <col min="5" max="6" width="15.42578125" style="11" customWidth="1"/>
    <col min="7" max="22" width="10.85546875" style="11" customWidth="1"/>
    <col min="23" max="23" width="0" style="11" hidden="1" customWidth="1"/>
    <col min="24" max="16384" width="10.85546875" style="11" hidden="1"/>
  </cols>
  <sheetData>
    <row r="1" spans="1:6" ht="18" x14ac:dyDescent="0.25">
      <c r="A1" s="3">
        <v>900</v>
      </c>
      <c r="B1" s="180" t="s">
        <v>108</v>
      </c>
    </row>
    <row r="2" spans="1:6" x14ac:dyDescent="0.2"/>
    <row r="3" spans="1:6" x14ac:dyDescent="0.2">
      <c r="A3" s="3">
        <v>104</v>
      </c>
      <c r="C3" s="12" t="s">
        <v>190</v>
      </c>
    </row>
    <row r="4" spans="1:6" x14ac:dyDescent="0.2"/>
    <row r="5" spans="1:6" x14ac:dyDescent="0.2">
      <c r="A5" s="3">
        <v>910</v>
      </c>
      <c r="B5" s="13" t="s">
        <v>115</v>
      </c>
      <c r="C5" s="14"/>
      <c r="D5" s="14"/>
      <c r="E5" s="14"/>
      <c r="F5" s="14"/>
    </row>
    <row r="6" spans="1:6" x14ac:dyDescent="0.2">
      <c r="A6" s="3">
        <v>911</v>
      </c>
      <c r="B6" s="15"/>
      <c r="C6" s="16" t="s">
        <v>79</v>
      </c>
      <c r="D6" s="16"/>
      <c r="E6" s="16"/>
      <c r="F6" s="16"/>
    </row>
    <row r="7" spans="1:6" ht="15" customHeight="1" x14ac:dyDescent="0.2">
      <c r="B7" s="17"/>
      <c r="C7" s="356" t="s">
        <v>48</v>
      </c>
      <c r="D7" s="358" t="s">
        <v>80</v>
      </c>
      <c r="E7" s="358" t="s">
        <v>81</v>
      </c>
      <c r="F7" s="358" t="s">
        <v>82</v>
      </c>
    </row>
    <row r="8" spans="1:6" x14ac:dyDescent="0.2">
      <c r="B8" s="17"/>
      <c r="C8" s="357"/>
      <c r="D8" s="359"/>
      <c r="E8" s="359"/>
      <c r="F8" s="359"/>
    </row>
    <row r="9" spans="1:6" x14ac:dyDescent="0.2">
      <c r="B9" s="17"/>
      <c r="C9" s="18" t="str">
        <f>E3_Verbraucher!$D15</f>
        <v>Hotel</v>
      </c>
      <c r="D9" s="18"/>
      <c r="E9" s="19">
        <f>E3_Verbraucher!$D19</f>
        <v>200</v>
      </c>
      <c r="F9" s="19">
        <f>E3_Verbraucher!$D18</f>
        <v>340</v>
      </c>
    </row>
    <row r="10" spans="1:6" x14ac:dyDescent="0.2">
      <c r="B10" s="17"/>
      <c r="C10" s="18" t="str">
        <f>E3_Verbraucher!$E15</f>
        <v>Hotel</v>
      </c>
      <c r="D10" s="18"/>
      <c r="E10" s="19">
        <f>E3_Verbraucher!$E19</f>
        <v>500</v>
      </c>
      <c r="F10" s="19">
        <f>E3_Verbraucher!$E18</f>
        <v>850</v>
      </c>
    </row>
    <row r="11" spans="1:6" x14ac:dyDescent="0.2">
      <c r="B11" s="17"/>
      <c r="C11" s="18" t="str">
        <f>E3_Verbraucher!$F15</f>
        <v>Hotel</v>
      </c>
      <c r="D11" s="18"/>
      <c r="E11" s="19">
        <f>E3_Verbraucher!$F19</f>
        <v>100</v>
      </c>
      <c r="F11" s="19">
        <f>E3_Verbraucher!$F18</f>
        <v>150</v>
      </c>
    </row>
    <row r="12" spans="1:6" x14ac:dyDescent="0.2">
      <c r="B12" s="17"/>
      <c r="C12" s="18" t="str">
        <f>E3_Verbraucher!$G15</f>
        <v>Hotel</v>
      </c>
      <c r="D12" s="18"/>
      <c r="E12" s="19">
        <f>E3_Verbraucher!$G19</f>
        <v>500</v>
      </c>
      <c r="F12" s="19">
        <f>E3_Verbraucher!$G18</f>
        <v>850</v>
      </c>
    </row>
    <row r="13" spans="1:6" x14ac:dyDescent="0.2">
      <c r="B13" s="17"/>
      <c r="C13" s="18" t="str">
        <f>E3_Verbraucher!$H15</f>
        <v>Hotel</v>
      </c>
      <c r="D13" s="18"/>
      <c r="E13" s="19">
        <f>E3_Verbraucher!$H19</f>
        <v>300</v>
      </c>
      <c r="F13" s="19">
        <f>E3_Verbraucher!$H18</f>
        <v>510</v>
      </c>
    </row>
    <row r="14" spans="1:6" x14ac:dyDescent="0.2">
      <c r="B14" s="17"/>
      <c r="C14" s="18" t="str">
        <f>E3_Verbraucher!$I15</f>
        <v>Hotel</v>
      </c>
      <c r="D14" s="18"/>
      <c r="E14" s="19">
        <f>E3_Verbraucher!$I19</f>
        <v>300</v>
      </c>
      <c r="F14" s="19">
        <f>E3_Verbraucher!$I18</f>
        <v>510</v>
      </c>
    </row>
    <row r="15" spans="1:6" x14ac:dyDescent="0.2">
      <c r="B15" s="17"/>
      <c r="C15" s="18" t="str">
        <f>E3_Verbraucher!$J15</f>
        <v>Hotel</v>
      </c>
      <c r="D15" s="18"/>
      <c r="E15" s="19">
        <f>E3_Verbraucher!$J19</f>
        <v>200</v>
      </c>
      <c r="F15" s="19">
        <f>E3_Verbraucher!$J18</f>
        <v>340</v>
      </c>
    </row>
    <row r="16" spans="1:6" x14ac:dyDescent="0.2">
      <c r="B16" s="17"/>
      <c r="C16" s="18" t="str">
        <f>E3_Verbraucher!$K15</f>
        <v>Hotel</v>
      </c>
      <c r="D16" s="18"/>
      <c r="E16" s="19">
        <f>E3_Verbraucher!$K19</f>
        <v>200</v>
      </c>
      <c r="F16" s="19">
        <f>E3_Verbraucher!$K18</f>
        <v>340</v>
      </c>
    </row>
    <row r="17" spans="1:6" x14ac:dyDescent="0.2">
      <c r="B17" s="17"/>
      <c r="C17" s="18" t="str">
        <f>E3_Verbraucher!$L15</f>
        <v>Hotel</v>
      </c>
      <c r="D17" s="18"/>
      <c r="E17" s="19">
        <f>E3_Verbraucher!$L19</f>
        <v>150</v>
      </c>
      <c r="F17" s="19">
        <f>E3_Verbraucher!$L18</f>
        <v>255</v>
      </c>
    </row>
    <row r="18" spans="1:6" x14ac:dyDescent="0.2">
      <c r="B18" s="17"/>
      <c r="C18" s="18" t="str">
        <f>E3_Verbraucher!$M15</f>
        <v>Schulhaus</v>
      </c>
      <c r="D18" s="18"/>
      <c r="E18" s="19">
        <f>E3_Verbraucher!$M19</f>
        <v>150</v>
      </c>
      <c r="F18" s="19">
        <f>E3_Verbraucher!$M18</f>
        <v>300</v>
      </c>
    </row>
    <row r="19" spans="1:6" x14ac:dyDescent="0.2">
      <c r="B19" s="17"/>
      <c r="C19" s="18" t="str">
        <f>E3_Verbraucher!$N15</f>
        <v>übrige</v>
      </c>
      <c r="D19" s="18"/>
      <c r="E19" s="19">
        <f>E3_Verbraucher!$N19</f>
        <v>40</v>
      </c>
      <c r="F19" s="19">
        <f>E3_Verbraucher!$N18</f>
        <v>80</v>
      </c>
    </row>
    <row r="20" spans="1:6" x14ac:dyDescent="0.2">
      <c r="B20" s="17"/>
      <c r="C20" s="18" t="str">
        <f>E3_Verbraucher!$O15</f>
        <v>übrige</v>
      </c>
      <c r="D20" s="18"/>
      <c r="E20" s="19">
        <f>E3_Verbraucher!$O19</f>
        <v>60</v>
      </c>
      <c r="F20" s="19">
        <f>E3_Verbraucher!$O18</f>
        <v>120</v>
      </c>
    </row>
    <row r="21" spans="1:6" x14ac:dyDescent="0.2">
      <c r="B21" s="17"/>
      <c r="C21" s="18" t="str">
        <f>E3_Verbraucher!$P15</f>
        <v>Hotel</v>
      </c>
      <c r="D21" s="18"/>
      <c r="E21" s="19">
        <f>E3_Verbraucher!$P19</f>
        <v>250</v>
      </c>
      <c r="F21" s="19">
        <f>E3_Verbraucher!$P18</f>
        <v>425</v>
      </c>
    </row>
    <row r="22" spans="1:6" x14ac:dyDescent="0.2">
      <c r="B22" s="17"/>
      <c r="C22" s="18" t="str">
        <f>E3_Verbraucher!$Q15</f>
        <v>Hotel</v>
      </c>
      <c r="D22" s="18"/>
      <c r="E22" s="19">
        <f>E3_Verbraucher!$Q19</f>
        <v>300</v>
      </c>
      <c r="F22" s="19">
        <f>E3_Verbraucher!$Q18</f>
        <v>500</v>
      </c>
    </row>
    <row r="23" spans="1:6" x14ac:dyDescent="0.2">
      <c r="B23" s="17"/>
      <c r="C23" s="18" t="str">
        <f>E3_Verbraucher!$R15</f>
        <v>Hotel</v>
      </c>
      <c r="D23" s="18"/>
      <c r="E23" s="19">
        <f>E3_Verbraucher!$R19</f>
        <v>300</v>
      </c>
      <c r="F23" s="19">
        <f>E3_Verbraucher!$R18</f>
        <v>510</v>
      </c>
    </row>
    <row r="24" spans="1:6" x14ac:dyDescent="0.2">
      <c r="C24" s="16" t="s">
        <v>79</v>
      </c>
      <c r="D24" s="20"/>
      <c r="E24" s="20"/>
    </row>
    <row r="25" spans="1:6" ht="25.5" x14ac:dyDescent="0.2">
      <c r="A25" s="3">
        <v>912</v>
      </c>
      <c r="C25" s="21"/>
      <c r="D25" s="22" t="s">
        <v>109</v>
      </c>
      <c r="E25" s="23" t="s">
        <v>110</v>
      </c>
    </row>
    <row r="26" spans="1:6" x14ac:dyDescent="0.2">
      <c r="C26" s="22" t="str">
        <f>C9</f>
        <v>Hotel</v>
      </c>
      <c r="D26" s="18">
        <f>E3_Verbraucher!$D21</f>
        <v>2026</v>
      </c>
      <c r="E26" s="19">
        <f>E9</f>
        <v>200</v>
      </c>
    </row>
    <row r="27" spans="1:6" x14ac:dyDescent="0.2">
      <c r="C27" s="22" t="str">
        <f t="shared" ref="C27:E40" si="0">C10</f>
        <v>Hotel</v>
      </c>
      <c r="D27" s="18">
        <f>E3_Verbraucher!$E21</f>
        <v>2026</v>
      </c>
      <c r="E27" s="19">
        <f t="shared" si="0"/>
        <v>500</v>
      </c>
    </row>
    <row r="28" spans="1:6" x14ac:dyDescent="0.2">
      <c r="C28" s="22" t="str">
        <f t="shared" si="0"/>
        <v>Hotel</v>
      </c>
      <c r="D28" s="18">
        <f>E3_Verbraucher!$F21</f>
        <v>2026</v>
      </c>
      <c r="E28" s="19">
        <f t="shared" si="0"/>
        <v>100</v>
      </c>
    </row>
    <row r="29" spans="1:6" x14ac:dyDescent="0.2">
      <c r="C29" s="22" t="str">
        <f t="shared" si="0"/>
        <v>Hotel</v>
      </c>
      <c r="D29" s="18">
        <f>E3_Verbraucher!$G21</f>
        <v>2027</v>
      </c>
      <c r="E29" s="19">
        <f t="shared" si="0"/>
        <v>500</v>
      </c>
    </row>
    <row r="30" spans="1:6" x14ac:dyDescent="0.2">
      <c r="C30" s="22" t="str">
        <f t="shared" si="0"/>
        <v>Hotel</v>
      </c>
      <c r="D30" s="18">
        <f>E3_Verbraucher!$H21</f>
        <v>2026</v>
      </c>
      <c r="E30" s="19">
        <f t="shared" si="0"/>
        <v>300</v>
      </c>
    </row>
    <row r="31" spans="1:6" x14ac:dyDescent="0.2">
      <c r="C31" s="22" t="str">
        <f t="shared" si="0"/>
        <v>Hotel</v>
      </c>
      <c r="D31" s="18">
        <f>E3_Verbraucher!$I21</f>
        <v>2026</v>
      </c>
      <c r="E31" s="19">
        <f t="shared" si="0"/>
        <v>300</v>
      </c>
    </row>
    <row r="32" spans="1:6" x14ac:dyDescent="0.2">
      <c r="C32" s="22" t="str">
        <f t="shared" si="0"/>
        <v>Hotel</v>
      </c>
      <c r="D32" s="18">
        <f>E3_Verbraucher!$J21</f>
        <v>2026</v>
      </c>
      <c r="E32" s="19">
        <f t="shared" si="0"/>
        <v>200</v>
      </c>
    </row>
    <row r="33" spans="1:19" x14ac:dyDescent="0.2">
      <c r="C33" s="22" t="str">
        <f t="shared" si="0"/>
        <v>Hotel</v>
      </c>
      <c r="D33" s="18">
        <f>E3_Verbraucher!$K21</f>
        <v>2030</v>
      </c>
      <c r="E33" s="19">
        <f t="shared" si="0"/>
        <v>200</v>
      </c>
    </row>
    <row r="34" spans="1:19" x14ac:dyDescent="0.2">
      <c r="C34" s="22" t="str">
        <f t="shared" si="0"/>
        <v>Hotel</v>
      </c>
      <c r="D34" s="18">
        <f>E3_Verbraucher!$L21</f>
        <v>2030</v>
      </c>
      <c r="E34" s="19">
        <f t="shared" si="0"/>
        <v>150</v>
      </c>
    </row>
    <row r="35" spans="1:19" x14ac:dyDescent="0.2">
      <c r="C35" s="22" t="str">
        <f t="shared" si="0"/>
        <v>Schulhaus</v>
      </c>
      <c r="D35" s="18">
        <f>E3_Verbraucher!$M21</f>
        <v>2026</v>
      </c>
      <c r="E35" s="19">
        <f t="shared" si="0"/>
        <v>150</v>
      </c>
    </row>
    <row r="36" spans="1:19" x14ac:dyDescent="0.2">
      <c r="C36" s="22" t="str">
        <f t="shared" si="0"/>
        <v>übrige</v>
      </c>
      <c r="D36" s="18">
        <f>E3_Verbraucher!$N21</f>
        <v>2028</v>
      </c>
      <c r="E36" s="19">
        <f t="shared" si="0"/>
        <v>40</v>
      </c>
    </row>
    <row r="37" spans="1:19" x14ac:dyDescent="0.2">
      <c r="C37" s="22" t="str">
        <f t="shared" si="0"/>
        <v>übrige</v>
      </c>
      <c r="D37" s="18">
        <f>E3_Verbraucher!$O21</f>
        <v>2032</v>
      </c>
      <c r="E37" s="19">
        <f t="shared" si="0"/>
        <v>60</v>
      </c>
    </row>
    <row r="38" spans="1:19" x14ac:dyDescent="0.2">
      <c r="C38" s="22" t="str">
        <f t="shared" si="0"/>
        <v>Hotel</v>
      </c>
      <c r="D38" s="18">
        <f>E3_Verbraucher!$P21</f>
        <v>2026</v>
      </c>
      <c r="E38" s="19">
        <f t="shared" si="0"/>
        <v>250</v>
      </c>
    </row>
    <row r="39" spans="1:19" x14ac:dyDescent="0.2">
      <c r="C39" s="22" t="str">
        <f t="shared" si="0"/>
        <v>Hotel</v>
      </c>
      <c r="D39" s="18">
        <f>E3_Verbraucher!$Q21</f>
        <v>2028</v>
      </c>
      <c r="E39" s="19">
        <f t="shared" si="0"/>
        <v>300</v>
      </c>
    </row>
    <row r="40" spans="1:19" x14ac:dyDescent="0.2">
      <c r="C40" s="22" t="str">
        <f t="shared" si="0"/>
        <v>Hotel</v>
      </c>
      <c r="D40" s="18">
        <f>E3_Verbraucher!$R21</f>
        <v>2035</v>
      </c>
      <c r="E40" s="19">
        <f t="shared" si="0"/>
        <v>300</v>
      </c>
    </row>
    <row r="41" spans="1:19" x14ac:dyDescent="0.2"/>
    <row r="42" spans="1:19" x14ac:dyDescent="0.2">
      <c r="A42" s="3">
        <v>920</v>
      </c>
      <c r="B42" s="14" t="s">
        <v>114</v>
      </c>
      <c r="C42" s="14"/>
      <c r="D42" s="24">
        <f>E1_Projektdaten!D23</f>
        <v>2026</v>
      </c>
      <c r="E42" s="24">
        <f>D42+1</f>
        <v>2027</v>
      </c>
      <c r="F42" s="14">
        <f t="shared" ref="F42:S42" si="1">E42+1</f>
        <v>2028</v>
      </c>
      <c r="G42" s="14">
        <f t="shared" si="1"/>
        <v>2029</v>
      </c>
      <c r="H42" s="14">
        <f t="shared" si="1"/>
        <v>2030</v>
      </c>
      <c r="I42" s="14">
        <f t="shared" si="1"/>
        <v>2031</v>
      </c>
      <c r="J42" s="14">
        <f t="shared" si="1"/>
        <v>2032</v>
      </c>
      <c r="K42" s="14">
        <f t="shared" si="1"/>
        <v>2033</v>
      </c>
      <c r="L42" s="14">
        <f t="shared" si="1"/>
        <v>2034</v>
      </c>
      <c r="M42" s="14">
        <f t="shared" si="1"/>
        <v>2035</v>
      </c>
      <c r="N42" s="14">
        <f t="shared" si="1"/>
        <v>2036</v>
      </c>
      <c r="O42" s="14">
        <f t="shared" si="1"/>
        <v>2037</v>
      </c>
      <c r="P42" s="14">
        <f t="shared" si="1"/>
        <v>2038</v>
      </c>
      <c r="Q42" s="14">
        <f t="shared" si="1"/>
        <v>2039</v>
      </c>
      <c r="R42" s="14">
        <f t="shared" si="1"/>
        <v>2040</v>
      </c>
      <c r="S42" s="14">
        <f t="shared" si="1"/>
        <v>2041</v>
      </c>
    </row>
    <row r="43" spans="1:19" x14ac:dyDescent="0.2">
      <c r="B43" s="16" t="s">
        <v>111</v>
      </c>
      <c r="C43" s="16"/>
      <c r="D43" s="16"/>
      <c r="E43" s="16"/>
      <c r="F43" s="16"/>
      <c r="G43" s="16"/>
      <c r="H43" s="16"/>
      <c r="I43" s="16"/>
      <c r="J43" s="16"/>
      <c r="K43" s="16"/>
      <c r="L43" s="16"/>
      <c r="M43" s="16"/>
      <c r="N43" s="16"/>
      <c r="O43" s="16"/>
      <c r="P43" s="16"/>
      <c r="Q43" s="16"/>
      <c r="R43" s="16"/>
      <c r="S43" s="16"/>
    </row>
    <row r="44" spans="1:19" x14ac:dyDescent="0.2">
      <c r="A44" s="3">
        <v>921</v>
      </c>
      <c r="B44" s="25" t="s">
        <v>112</v>
      </c>
      <c r="C44" s="26"/>
      <c r="D44" s="26"/>
      <c r="E44" s="26"/>
      <c r="F44" s="26"/>
      <c r="G44" s="26"/>
      <c r="H44" s="26"/>
      <c r="I44" s="26"/>
      <c r="J44" s="26"/>
      <c r="K44" s="26"/>
      <c r="L44" s="26"/>
      <c r="M44" s="26"/>
      <c r="N44" s="26"/>
      <c r="O44" s="26"/>
      <c r="P44" s="26"/>
      <c r="Q44" s="26"/>
      <c r="R44" s="26"/>
      <c r="S44" s="26"/>
    </row>
    <row r="45" spans="1:19" x14ac:dyDescent="0.2">
      <c r="B45" s="27" t="str">
        <f>C9</f>
        <v>Hotel</v>
      </c>
      <c r="C45" s="27" t="s">
        <v>113</v>
      </c>
      <c r="D45" s="19">
        <f>E3_Verbraucher!$D18*(E3_Verbraucher!$D21&lt;D$42)+E3_Verbraucher!$D18*(E3_Verbraucher!$D21=D$42)*E3_Verbraucher!$D20</f>
        <v>170</v>
      </c>
      <c r="E45" s="19">
        <f>E3_Verbraucher!$D18*(E3_Verbraucher!$D21&lt;E$42)+E3_Verbraucher!$D18*(E3_Verbraucher!$D21=E$42)*E3_Verbraucher!$D20</f>
        <v>340</v>
      </c>
      <c r="F45" s="19">
        <f>E3_Verbraucher!$D18*(E3_Verbraucher!$D21&lt;F$42)+E3_Verbraucher!$D18*(E3_Verbraucher!$D21=F$42)*E3_Verbraucher!$D20</f>
        <v>340</v>
      </c>
      <c r="G45" s="19">
        <f>E3_Verbraucher!$D18*(E3_Verbraucher!$D21&lt;G$42)+E3_Verbraucher!$D18*(E3_Verbraucher!$D21=G$42)*E3_Verbraucher!$D20</f>
        <v>340</v>
      </c>
      <c r="H45" s="19">
        <f>E3_Verbraucher!$D18*(E3_Verbraucher!$D21&lt;H$42)+E3_Verbraucher!$D18*(E3_Verbraucher!$D21=H$42)*E3_Verbraucher!$D20</f>
        <v>340</v>
      </c>
      <c r="I45" s="19">
        <f>E3_Verbraucher!$D18*(E3_Verbraucher!$D21&lt;I$42)+E3_Verbraucher!$D18*(E3_Verbraucher!$D21=I$42)*E3_Verbraucher!$D20</f>
        <v>340</v>
      </c>
      <c r="J45" s="19">
        <f>E3_Verbraucher!$D18*(E3_Verbraucher!$D21&lt;J$42)+E3_Verbraucher!$D18*(E3_Verbraucher!$D21=J$42)*E3_Verbraucher!$D20</f>
        <v>340</v>
      </c>
      <c r="K45" s="19">
        <f>E3_Verbraucher!$D18*(E3_Verbraucher!$D21&lt;K$42)+E3_Verbraucher!$D18*(E3_Verbraucher!$D21=K$42)*E3_Verbraucher!$D20</f>
        <v>340</v>
      </c>
      <c r="L45" s="19">
        <f>E3_Verbraucher!$D18*(E3_Verbraucher!$D21&lt;L$42)+E3_Verbraucher!$D18*(E3_Verbraucher!$D21=L$42)*E3_Verbraucher!$D20</f>
        <v>340</v>
      </c>
      <c r="M45" s="19">
        <f>E3_Verbraucher!$D18*(E3_Verbraucher!$D21&lt;M$42)+E3_Verbraucher!$D18*(E3_Verbraucher!$D21=M$42)*E3_Verbraucher!$D20</f>
        <v>340</v>
      </c>
      <c r="N45" s="19">
        <f>E3_Verbraucher!$D18*(E3_Verbraucher!$D21&lt;N$42)+E3_Verbraucher!$D18*(E3_Verbraucher!$D21=N$42)*E3_Verbraucher!$D20</f>
        <v>340</v>
      </c>
      <c r="O45" s="19">
        <f>E3_Verbraucher!$D18*(E3_Verbraucher!$D21&lt;O$42)+E3_Verbraucher!$D18*(E3_Verbraucher!$D21=O$42)*E3_Verbraucher!$D20</f>
        <v>340</v>
      </c>
      <c r="P45" s="19">
        <f>E3_Verbraucher!$D18*(E3_Verbraucher!$D21&lt;P$42)+E3_Verbraucher!$D18*(E3_Verbraucher!$D21=P$42)*E3_Verbraucher!$D20</f>
        <v>340</v>
      </c>
      <c r="Q45" s="19">
        <f>E3_Verbraucher!$D18*(E3_Verbraucher!$D21&lt;Q$42)+E3_Verbraucher!$D18*(E3_Verbraucher!$D21=Q$42)*E3_Verbraucher!$D20</f>
        <v>340</v>
      </c>
      <c r="R45" s="19">
        <f>E3_Verbraucher!$D18*(E3_Verbraucher!$D21&lt;R$42)+E3_Verbraucher!$D18*(E3_Verbraucher!$D21=R$42)*E3_Verbraucher!$D20</f>
        <v>340</v>
      </c>
      <c r="S45" s="19">
        <f>E3_Verbraucher!$D18*(E3_Verbraucher!$D21&lt;S$42)+E3_Verbraucher!$D18*(E3_Verbraucher!$D21=S$42)*E3_Verbraucher!$D20</f>
        <v>340</v>
      </c>
    </row>
    <row r="46" spans="1:19" x14ac:dyDescent="0.2">
      <c r="B46" s="27" t="str">
        <f t="shared" ref="B46:B59" si="2">C10</f>
        <v>Hotel</v>
      </c>
      <c r="C46" s="27" t="s">
        <v>113</v>
      </c>
      <c r="D46" s="19">
        <f>E3_Verbraucher!$E18*(E3_Verbraucher!$E21&lt;D$42)+E3_Verbraucher!$E18*(E3_Verbraucher!$E21=D$42)*E3_Verbraucher!$E20</f>
        <v>425</v>
      </c>
      <c r="E46" s="19">
        <f>E3_Verbraucher!$E18*(E3_Verbraucher!$E21&lt;E$42)+E3_Verbraucher!$E18*(E3_Verbraucher!$E21=E$42)*E3_Verbraucher!$E20</f>
        <v>850</v>
      </c>
      <c r="F46" s="19">
        <f>E3_Verbraucher!$E18*(E3_Verbraucher!$E21&lt;F$42)+E3_Verbraucher!$E18*(E3_Verbraucher!$E21=F$42)*E3_Verbraucher!$E20</f>
        <v>850</v>
      </c>
      <c r="G46" s="19">
        <f>E3_Verbraucher!$E18*(E3_Verbraucher!$E21&lt;G$42)+E3_Verbraucher!$E18*(E3_Verbraucher!$E21=G$42)*E3_Verbraucher!$E20</f>
        <v>850</v>
      </c>
      <c r="H46" s="19">
        <f>E3_Verbraucher!$E18*(E3_Verbraucher!$E21&lt;H$42)+E3_Verbraucher!$E18*(E3_Verbraucher!$E21=H$42)*E3_Verbraucher!$E20</f>
        <v>850</v>
      </c>
      <c r="I46" s="19">
        <f>E3_Verbraucher!$E18*(E3_Verbraucher!$E21&lt;I$42)+E3_Verbraucher!$E18*(E3_Verbraucher!$E21=I$42)*E3_Verbraucher!$E20</f>
        <v>850</v>
      </c>
      <c r="J46" s="19">
        <f>E3_Verbraucher!$E18*(E3_Verbraucher!$E21&lt;J$42)+E3_Verbraucher!$E18*(E3_Verbraucher!$E21=J$42)*E3_Verbraucher!$E20</f>
        <v>850</v>
      </c>
      <c r="K46" s="19">
        <f>E3_Verbraucher!$E18*(E3_Verbraucher!$E21&lt;K$42)+E3_Verbraucher!$E18*(E3_Verbraucher!$E21=K$42)*E3_Verbraucher!$E20</f>
        <v>850</v>
      </c>
      <c r="L46" s="19">
        <f>E3_Verbraucher!$E18*(E3_Verbraucher!$E21&lt;L$42)+E3_Verbraucher!$E18*(E3_Verbraucher!$E21=L$42)*E3_Verbraucher!$E20</f>
        <v>850</v>
      </c>
      <c r="M46" s="19">
        <f>E3_Verbraucher!$E18*(E3_Verbraucher!$E21&lt;M$42)+E3_Verbraucher!$E18*(E3_Verbraucher!$E21=M$42)*E3_Verbraucher!$E20</f>
        <v>850</v>
      </c>
      <c r="N46" s="19">
        <f>E3_Verbraucher!$E18*(E3_Verbraucher!$E21&lt;N$42)+E3_Verbraucher!$E18*(E3_Verbraucher!$E21=N$42)*E3_Verbraucher!$E20</f>
        <v>850</v>
      </c>
      <c r="O46" s="19">
        <f>E3_Verbraucher!$E18*(E3_Verbraucher!$E21&lt;O$42)+E3_Verbraucher!$E18*(E3_Verbraucher!$E21=O$42)*E3_Verbraucher!$E20</f>
        <v>850</v>
      </c>
      <c r="P46" s="19">
        <f>E3_Verbraucher!$E18*(E3_Verbraucher!$E21&lt;P$42)+E3_Verbraucher!$E18*(E3_Verbraucher!$E21=P$42)*E3_Verbraucher!$E20</f>
        <v>850</v>
      </c>
      <c r="Q46" s="19">
        <f>E3_Verbraucher!$E18*(E3_Verbraucher!$E21&lt;Q$42)+E3_Verbraucher!$E18*(E3_Verbraucher!$E21=Q$42)*E3_Verbraucher!$E20</f>
        <v>850</v>
      </c>
      <c r="R46" s="19">
        <f>E3_Verbraucher!$E18*(E3_Verbraucher!$E21&lt;R$42)+E3_Verbraucher!$E18*(E3_Verbraucher!$E21=R$42)*E3_Verbraucher!$E20</f>
        <v>850</v>
      </c>
      <c r="S46" s="19">
        <f>E3_Verbraucher!$E18*(E3_Verbraucher!$E21&lt;S$42)+E3_Verbraucher!$E18*(E3_Verbraucher!$E21=S$42)*E3_Verbraucher!$E20</f>
        <v>850</v>
      </c>
    </row>
    <row r="47" spans="1:19" x14ac:dyDescent="0.2">
      <c r="B47" s="27" t="str">
        <f t="shared" si="2"/>
        <v>Hotel</v>
      </c>
      <c r="C47" s="27" t="s">
        <v>113</v>
      </c>
      <c r="D47" s="19">
        <f>E3_Verbraucher!$F18*(E3_Verbraucher!$F21&lt;D$42)+E3_Verbraucher!$F18*(E3_Verbraucher!$F21=D$42)*E3_Verbraucher!$F20</f>
        <v>75</v>
      </c>
      <c r="E47" s="19">
        <f>E3_Verbraucher!$F18*(E3_Verbraucher!$F21&lt;E$42)+E3_Verbraucher!$F18*(E3_Verbraucher!$F21=E$42)*E3_Verbraucher!$F20</f>
        <v>150</v>
      </c>
      <c r="F47" s="19">
        <f>E3_Verbraucher!$F18*(E3_Verbraucher!$F21&lt;F$42)+E3_Verbraucher!$F18*(E3_Verbraucher!$F21=F$42)*E3_Verbraucher!$F20</f>
        <v>150</v>
      </c>
      <c r="G47" s="19">
        <f>E3_Verbraucher!$F18*(E3_Verbraucher!$F21&lt;G$42)+E3_Verbraucher!$F18*(E3_Verbraucher!$F21=G$42)*E3_Verbraucher!$F20</f>
        <v>150</v>
      </c>
      <c r="H47" s="19">
        <f>E3_Verbraucher!$F18*(E3_Verbraucher!$F21&lt;H$42)+E3_Verbraucher!$F18*(E3_Verbraucher!$F21=H$42)*E3_Verbraucher!$F20</f>
        <v>150</v>
      </c>
      <c r="I47" s="19">
        <f>E3_Verbraucher!$F18*(E3_Verbraucher!$F21&lt;I$42)+E3_Verbraucher!$F18*(E3_Verbraucher!$F21=I$42)*E3_Verbraucher!$F20</f>
        <v>150</v>
      </c>
      <c r="J47" s="19">
        <f>E3_Verbraucher!$F18*(E3_Verbraucher!$F21&lt;J$42)+E3_Verbraucher!$F18*(E3_Verbraucher!$F21=J$42)*E3_Verbraucher!$F20</f>
        <v>150</v>
      </c>
      <c r="K47" s="19">
        <f>E3_Verbraucher!$F18*(E3_Verbraucher!$F21&lt;K$42)+E3_Verbraucher!$F18*(E3_Verbraucher!$F21=K$42)*E3_Verbraucher!$F20</f>
        <v>150</v>
      </c>
      <c r="L47" s="19">
        <f>E3_Verbraucher!$F18*(E3_Verbraucher!$F21&lt;L$42)+E3_Verbraucher!$F18*(E3_Verbraucher!$F21=L$42)*E3_Verbraucher!$F20</f>
        <v>150</v>
      </c>
      <c r="M47" s="19">
        <f>E3_Verbraucher!$F18*(E3_Verbraucher!$F21&lt;M$42)+E3_Verbraucher!$F18*(E3_Verbraucher!$F21=M$42)*E3_Verbraucher!$F20</f>
        <v>150</v>
      </c>
      <c r="N47" s="19">
        <f>E3_Verbraucher!$F18*(E3_Verbraucher!$F21&lt;N$42)+E3_Verbraucher!$F18*(E3_Verbraucher!$F21=N$42)*E3_Verbraucher!$F20</f>
        <v>150</v>
      </c>
      <c r="O47" s="19">
        <f>E3_Verbraucher!$F18*(E3_Verbraucher!$F21&lt;O$42)+E3_Verbraucher!$F18*(E3_Verbraucher!$F21=O$42)*E3_Verbraucher!$F20</f>
        <v>150</v>
      </c>
      <c r="P47" s="19">
        <f>E3_Verbraucher!$F18*(E3_Verbraucher!$F21&lt;P$42)+E3_Verbraucher!$F18*(E3_Verbraucher!$F21=P$42)*E3_Verbraucher!$F20</f>
        <v>150</v>
      </c>
      <c r="Q47" s="19">
        <f>E3_Verbraucher!$F18*(E3_Verbraucher!$F21&lt;Q$42)+E3_Verbraucher!$F18*(E3_Verbraucher!$F21=Q$42)*E3_Verbraucher!$F20</f>
        <v>150</v>
      </c>
      <c r="R47" s="19">
        <f>E3_Verbraucher!$F18*(E3_Verbraucher!$F21&lt;R$42)+E3_Verbraucher!$F18*(E3_Verbraucher!$F21=R$42)*E3_Verbraucher!$F20</f>
        <v>150</v>
      </c>
      <c r="S47" s="19">
        <f>E3_Verbraucher!$F18*(E3_Verbraucher!$F21&lt;S$42)+E3_Verbraucher!$F18*(E3_Verbraucher!$F21=S$42)*E3_Verbraucher!$F20</f>
        <v>150</v>
      </c>
    </row>
    <row r="48" spans="1:19" x14ac:dyDescent="0.2">
      <c r="B48" s="27" t="str">
        <f t="shared" si="2"/>
        <v>Hotel</v>
      </c>
      <c r="C48" s="27" t="s">
        <v>113</v>
      </c>
      <c r="D48" s="19">
        <f>E3_Verbraucher!$G18*(E3_Verbraucher!$G21&lt;D$42)+E3_Verbraucher!$G18*(E3_Verbraucher!$G21=D$42)*E3_Verbraucher!$G20</f>
        <v>0</v>
      </c>
      <c r="E48" s="19">
        <f>E3_Verbraucher!$G18*(E3_Verbraucher!$G21&lt;E$42)+E3_Verbraucher!$G18*(E3_Verbraucher!$G21=E$42)*E3_Verbraucher!$G20</f>
        <v>425</v>
      </c>
      <c r="F48" s="19">
        <f>E3_Verbraucher!$G18*(E3_Verbraucher!$G21&lt;F$42)+E3_Verbraucher!$G18*(E3_Verbraucher!$G21=F$42)*E3_Verbraucher!$G20</f>
        <v>850</v>
      </c>
      <c r="G48" s="19">
        <f>E3_Verbraucher!$G18*(E3_Verbraucher!$G21&lt;G$42)+E3_Verbraucher!$G18*(E3_Verbraucher!$G21=G$42)*E3_Verbraucher!$G20</f>
        <v>850</v>
      </c>
      <c r="H48" s="19">
        <f>E3_Verbraucher!$G18*(E3_Verbraucher!$G21&lt;H$42)+E3_Verbraucher!$G18*(E3_Verbraucher!$G21=H$42)*E3_Verbraucher!$G20</f>
        <v>850</v>
      </c>
      <c r="I48" s="19">
        <f>E3_Verbraucher!$G18*(E3_Verbraucher!$G21&lt;I$42)+E3_Verbraucher!$G18*(E3_Verbraucher!$G21=I$42)*E3_Verbraucher!$G20</f>
        <v>850</v>
      </c>
      <c r="J48" s="19">
        <f>E3_Verbraucher!$G18*(E3_Verbraucher!$G21&lt;J$42)+E3_Verbraucher!$G18*(E3_Verbraucher!$G21=J$42)*E3_Verbraucher!$G20</f>
        <v>850</v>
      </c>
      <c r="K48" s="19">
        <f>E3_Verbraucher!$G18*(E3_Verbraucher!$G21&lt;K$42)+E3_Verbraucher!$G18*(E3_Verbraucher!$G21=K$42)*E3_Verbraucher!$G20</f>
        <v>850</v>
      </c>
      <c r="L48" s="19">
        <f>E3_Verbraucher!$G18*(E3_Verbraucher!$G21&lt;L$42)+E3_Verbraucher!$G18*(E3_Verbraucher!$G21=L$42)*E3_Verbraucher!$G20</f>
        <v>850</v>
      </c>
      <c r="M48" s="19">
        <f>E3_Verbraucher!$G18*(E3_Verbraucher!$G21&lt;M$42)+E3_Verbraucher!$G18*(E3_Verbraucher!$G21=M$42)*E3_Verbraucher!$G20</f>
        <v>850</v>
      </c>
      <c r="N48" s="19">
        <f>E3_Verbraucher!$G18*(E3_Verbraucher!$G21&lt;N$42)+E3_Verbraucher!$G18*(E3_Verbraucher!$G21=N$42)*E3_Verbraucher!$G20</f>
        <v>850</v>
      </c>
      <c r="O48" s="19">
        <f>E3_Verbraucher!$G18*(E3_Verbraucher!$G21&lt;O$42)+E3_Verbraucher!$G18*(E3_Verbraucher!$G21=O$42)*E3_Verbraucher!$G20</f>
        <v>850</v>
      </c>
      <c r="P48" s="19">
        <f>E3_Verbraucher!$G18*(E3_Verbraucher!$G21&lt;P$42)+E3_Verbraucher!$G18*(E3_Verbraucher!$G21=P$42)*E3_Verbraucher!$G20</f>
        <v>850</v>
      </c>
      <c r="Q48" s="19">
        <f>E3_Verbraucher!$G18*(E3_Verbraucher!$G21&lt;Q$42)+E3_Verbraucher!$G18*(E3_Verbraucher!$G21=Q$42)*E3_Verbraucher!$G20</f>
        <v>850</v>
      </c>
      <c r="R48" s="19">
        <f>E3_Verbraucher!$G18*(E3_Verbraucher!$G21&lt;R$42)+E3_Verbraucher!$G18*(E3_Verbraucher!$G21=R$42)*E3_Verbraucher!$G20</f>
        <v>850</v>
      </c>
      <c r="S48" s="19">
        <f>E3_Verbraucher!$G18*(E3_Verbraucher!$G21&lt;S$42)+E3_Verbraucher!$G18*(E3_Verbraucher!$G21=S$42)*E3_Verbraucher!$G20</f>
        <v>850</v>
      </c>
    </row>
    <row r="49" spans="1:23" x14ac:dyDescent="0.2">
      <c r="B49" s="27" t="str">
        <f t="shared" si="2"/>
        <v>Hotel</v>
      </c>
      <c r="C49" s="27" t="s">
        <v>113</v>
      </c>
      <c r="D49" s="19">
        <f>E3_Verbraucher!$H18*(E3_Verbraucher!$H21&lt;D$42)+E3_Verbraucher!$H18*(E3_Verbraucher!$H21=D$42)*E3_Verbraucher!$H20</f>
        <v>255</v>
      </c>
      <c r="E49" s="19">
        <f>E3_Verbraucher!$H18*(E3_Verbraucher!$H21&lt;E$42)+E3_Verbraucher!$H18*(E3_Verbraucher!$H21=E$42)*E3_Verbraucher!$H20</f>
        <v>510</v>
      </c>
      <c r="F49" s="19">
        <f>E3_Verbraucher!$H18*(E3_Verbraucher!$H21&lt;F$42)+E3_Verbraucher!$H18*(E3_Verbraucher!$H21=F$42)*E3_Verbraucher!$H20</f>
        <v>510</v>
      </c>
      <c r="G49" s="19">
        <f>E3_Verbraucher!$H18*(E3_Verbraucher!$H21&lt;G$42)+E3_Verbraucher!$H18*(E3_Verbraucher!$H21=G$42)*E3_Verbraucher!$H20</f>
        <v>510</v>
      </c>
      <c r="H49" s="19">
        <f>E3_Verbraucher!$H18*(E3_Verbraucher!$H21&lt;H$42)+E3_Verbraucher!$H18*(E3_Verbraucher!$H21=H$42)*E3_Verbraucher!$H20</f>
        <v>510</v>
      </c>
      <c r="I49" s="19">
        <f>E3_Verbraucher!$H18*(E3_Verbraucher!$H21&lt;I$42)+E3_Verbraucher!$H18*(E3_Verbraucher!$H21=I$42)*E3_Verbraucher!$H20</f>
        <v>510</v>
      </c>
      <c r="J49" s="19">
        <f>E3_Verbraucher!$H18*(E3_Verbraucher!$H21&lt;J$42)+E3_Verbraucher!$H18*(E3_Verbraucher!$H21=J$42)*E3_Verbraucher!$H20</f>
        <v>510</v>
      </c>
      <c r="K49" s="19">
        <f>E3_Verbraucher!$H18*(E3_Verbraucher!$H21&lt;K$42)+E3_Verbraucher!$H18*(E3_Verbraucher!$H21=K$42)*E3_Verbraucher!$H20</f>
        <v>510</v>
      </c>
      <c r="L49" s="19">
        <f>E3_Verbraucher!$H18*(E3_Verbraucher!$H21&lt;L$42)+E3_Verbraucher!$H18*(E3_Verbraucher!$H21=L$42)*E3_Verbraucher!$H20</f>
        <v>510</v>
      </c>
      <c r="M49" s="19">
        <f>E3_Verbraucher!$H18*(E3_Verbraucher!$H21&lt;M$42)+E3_Verbraucher!$H18*(E3_Verbraucher!$H21=M$42)*E3_Verbraucher!$H20</f>
        <v>510</v>
      </c>
      <c r="N49" s="19">
        <f>E3_Verbraucher!$H18*(E3_Verbraucher!$H21&lt;N$42)+E3_Verbraucher!$H18*(E3_Verbraucher!$H21=N$42)*E3_Verbraucher!$H20</f>
        <v>510</v>
      </c>
      <c r="O49" s="19">
        <f>E3_Verbraucher!$H18*(E3_Verbraucher!$H21&lt;O$42)+E3_Verbraucher!$H18*(E3_Verbraucher!$H21=O$42)*E3_Verbraucher!$H20</f>
        <v>510</v>
      </c>
      <c r="P49" s="19">
        <f>E3_Verbraucher!$H18*(E3_Verbraucher!$H21&lt;P$42)+E3_Verbraucher!$H18*(E3_Verbraucher!$H21=P$42)*E3_Verbraucher!$H20</f>
        <v>510</v>
      </c>
      <c r="Q49" s="19">
        <f>E3_Verbraucher!$H18*(E3_Verbraucher!$H21&lt;Q$42)+E3_Verbraucher!$H18*(E3_Verbraucher!$H21=Q$42)*E3_Verbraucher!$H20</f>
        <v>510</v>
      </c>
      <c r="R49" s="19">
        <f>E3_Verbraucher!$H18*(E3_Verbraucher!$H21&lt;R$42)+E3_Verbraucher!$H18*(E3_Verbraucher!$H21=R$42)*E3_Verbraucher!$H20</f>
        <v>510</v>
      </c>
      <c r="S49" s="19">
        <f>E3_Verbraucher!$H18*(E3_Verbraucher!$H21&lt;S$42)+E3_Verbraucher!$H18*(E3_Verbraucher!$H21=S$42)*E3_Verbraucher!$H20</f>
        <v>510</v>
      </c>
    </row>
    <row r="50" spans="1:23" x14ac:dyDescent="0.2">
      <c r="B50" s="27" t="str">
        <f t="shared" si="2"/>
        <v>Hotel</v>
      </c>
      <c r="C50" s="27" t="s">
        <v>113</v>
      </c>
      <c r="D50" s="19">
        <f>E3_Verbraucher!$I18*(E3_Verbraucher!$I21&lt;D$42)+E3_Verbraucher!$I18*(E3_Verbraucher!$I21=D$42)*E3_Verbraucher!$I20</f>
        <v>255</v>
      </c>
      <c r="E50" s="19">
        <f>E3_Verbraucher!$I18*(E3_Verbraucher!$I21&lt;E$42)+E3_Verbraucher!$I18*(E3_Verbraucher!$I21=E$42)*E3_Verbraucher!$I20</f>
        <v>510</v>
      </c>
      <c r="F50" s="19">
        <f>E3_Verbraucher!$I18*(E3_Verbraucher!$I21&lt;F$42)+E3_Verbraucher!$I18*(E3_Verbraucher!$I21=F$42)*E3_Verbraucher!$I20</f>
        <v>510</v>
      </c>
      <c r="G50" s="19">
        <f>E3_Verbraucher!$I18*(E3_Verbraucher!$I21&lt;G$42)+E3_Verbraucher!$I18*(E3_Verbraucher!$I21=G$42)*E3_Verbraucher!$I20</f>
        <v>510</v>
      </c>
      <c r="H50" s="19">
        <f>E3_Verbraucher!$I18*(E3_Verbraucher!$I21&lt;H$42)+E3_Verbraucher!$I18*(E3_Verbraucher!$I21=H$42)*E3_Verbraucher!$I20</f>
        <v>510</v>
      </c>
      <c r="I50" s="19">
        <f>E3_Verbraucher!$I18*(E3_Verbraucher!$I21&lt;I$42)+E3_Verbraucher!$I18*(E3_Verbraucher!$I21=I$42)*E3_Verbraucher!$I20</f>
        <v>510</v>
      </c>
      <c r="J50" s="19">
        <f>E3_Verbraucher!$I18*(E3_Verbraucher!$I21&lt;J$42)+E3_Verbraucher!$I18*(E3_Verbraucher!$I21=J$42)*E3_Verbraucher!$I20</f>
        <v>510</v>
      </c>
      <c r="K50" s="19">
        <f>E3_Verbraucher!$I18*(E3_Verbraucher!$I21&lt;K$42)+E3_Verbraucher!$I18*(E3_Verbraucher!$I21=K$42)*E3_Verbraucher!$I20</f>
        <v>510</v>
      </c>
      <c r="L50" s="19">
        <f>E3_Verbraucher!$I18*(E3_Verbraucher!$I21&lt;L$42)+E3_Verbraucher!$I18*(E3_Verbraucher!$I21=L$42)*E3_Verbraucher!$I20</f>
        <v>510</v>
      </c>
      <c r="M50" s="19">
        <f>E3_Verbraucher!$I18*(E3_Verbraucher!$I21&lt;M$42)+E3_Verbraucher!$I18*(E3_Verbraucher!$I21=M$42)*E3_Verbraucher!$I20</f>
        <v>510</v>
      </c>
      <c r="N50" s="19">
        <f>E3_Verbraucher!$I18*(E3_Verbraucher!$I21&lt;N$42)+E3_Verbraucher!$I18*(E3_Verbraucher!$I21=N$42)*E3_Verbraucher!$I20</f>
        <v>510</v>
      </c>
      <c r="O50" s="19">
        <f>E3_Verbraucher!$I18*(E3_Verbraucher!$I21&lt;O$42)+E3_Verbraucher!$I18*(E3_Verbraucher!$I21=O$42)*E3_Verbraucher!$I20</f>
        <v>510</v>
      </c>
      <c r="P50" s="19">
        <f>E3_Verbraucher!$I18*(E3_Verbraucher!$I21&lt;P$42)+E3_Verbraucher!$I18*(E3_Verbraucher!$I21=P$42)*E3_Verbraucher!$I20</f>
        <v>510</v>
      </c>
      <c r="Q50" s="19">
        <f>E3_Verbraucher!$I18*(E3_Verbraucher!$I21&lt;Q$42)+E3_Verbraucher!$I18*(E3_Verbraucher!$I21=Q$42)*E3_Verbraucher!$I20</f>
        <v>510</v>
      </c>
      <c r="R50" s="19">
        <f>E3_Verbraucher!$I18*(E3_Verbraucher!$I21&lt;R$42)+E3_Verbraucher!$I18*(E3_Verbraucher!$I21=R$42)*E3_Verbraucher!$I20</f>
        <v>510</v>
      </c>
      <c r="S50" s="19">
        <f>E3_Verbraucher!$I18*(E3_Verbraucher!$I21&lt;S$42)+E3_Verbraucher!$I18*(E3_Verbraucher!$I21=S$42)*E3_Verbraucher!$I20</f>
        <v>510</v>
      </c>
    </row>
    <row r="51" spans="1:23" x14ac:dyDescent="0.2">
      <c r="B51" s="27" t="str">
        <f t="shared" si="2"/>
        <v>Hotel</v>
      </c>
      <c r="C51" s="27" t="s">
        <v>113</v>
      </c>
      <c r="D51" s="19">
        <f>E3_Verbraucher!$J18*(E3_Verbraucher!$J21&lt;D$42)+E3_Verbraucher!$J18*(E3_Verbraucher!$J21=D$42)*E3_Verbraucher!$J20</f>
        <v>170</v>
      </c>
      <c r="E51" s="19">
        <f>E3_Verbraucher!$J18*(E3_Verbraucher!$J21&lt;E$42)+E3_Verbraucher!$J18*(E3_Verbraucher!$J21=E$42)*E3_Verbraucher!$J20</f>
        <v>340</v>
      </c>
      <c r="F51" s="19">
        <f>E3_Verbraucher!$J18*(E3_Verbraucher!$J21&lt;F$42)+E3_Verbraucher!$J18*(E3_Verbraucher!$J21=F$42)*E3_Verbraucher!$J20</f>
        <v>340</v>
      </c>
      <c r="G51" s="19">
        <f>E3_Verbraucher!$J18*(E3_Verbraucher!$J21&lt;G$42)+E3_Verbraucher!$J18*(E3_Verbraucher!$J21=G$42)*E3_Verbraucher!$J20</f>
        <v>340</v>
      </c>
      <c r="H51" s="19">
        <f>E3_Verbraucher!$J18*(E3_Verbraucher!$J21&lt;H$42)+E3_Verbraucher!$J18*(E3_Verbraucher!$J21=H$42)*E3_Verbraucher!$J20</f>
        <v>340</v>
      </c>
      <c r="I51" s="19">
        <f>E3_Verbraucher!$J18*(E3_Verbraucher!$J21&lt;I$42)+E3_Verbraucher!$J18*(E3_Verbraucher!$J21=I$42)*E3_Verbraucher!$J20</f>
        <v>340</v>
      </c>
      <c r="J51" s="19">
        <f>E3_Verbraucher!$J18*(E3_Verbraucher!$J21&lt;J$42)+E3_Verbraucher!$J18*(E3_Verbraucher!$J21=J$42)*E3_Verbraucher!$J20</f>
        <v>340</v>
      </c>
      <c r="K51" s="19">
        <f>E3_Verbraucher!$J18*(E3_Verbraucher!$J21&lt;K$42)+E3_Verbraucher!$J18*(E3_Verbraucher!$J21=K$42)*E3_Verbraucher!$J20</f>
        <v>340</v>
      </c>
      <c r="L51" s="19">
        <f>E3_Verbraucher!$J18*(E3_Verbraucher!$J21&lt;L$42)+E3_Verbraucher!$J18*(E3_Verbraucher!$J21=L$42)*E3_Verbraucher!$J20</f>
        <v>340</v>
      </c>
      <c r="M51" s="19">
        <f>E3_Verbraucher!$J18*(E3_Verbraucher!$J21&lt;M$42)+E3_Verbraucher!$J18*(E3_Verbraucher!$J21=M$42)*E3_Verbraucher!$J20</f>
        <v>340</v>
      </c>
      <c r="N51" s="19">
        <f>E3_Verbraucher!$J18*(E3_Verbraucher!$J21&lt;N$42)+E3_Verbraucher!$J18*(E3_Verbraucher!$J21=N$42)*E3_Verbraucher!$J20</f>
        <v>340</v>
      </c>
      <c r="O51" s="19">
        <f>E3_Verbraucher!$J18*(E3_Verbraucher!$J21&lt;O$42)+E3_Verbraucher!$J18*(E3_Verbraucher!$J21=O$42)*E3_Verbraucher!$J20</f>
        <v>340</v>
      </c>
      <c r="P51" s="19">
        <f>E3_Verbraucher!$J18*(E3_Verbraucher!$J21&lt;P$42)+E3_Verbraucher!$J18*(E3_Verbraucher!$J21=P$42)*E3_Verbraucher!$J20</f>
        <v>340</v>
      </c>
      <c r="Q51" s="19">
        <f>E3_Verbraucher!$J18*(E3_Verbraucher!$J21&lt;Q$42)+E3_Verbraucher!$J18*(E3_Verbraucher!$J21=Q$42)*E3_Verbraucher!$J20</f>
        <v>340</v>
      </c>
      <c r="R51" s="19">
        <f>E3_Verbraucher!$J18*(E3_Verbraucher!$J21&lt;R$42)+E3_Verbraucher!$J18*(E3_Verbraucher!$J21=R$42)*E3_Verbraucher!$J20</f>
        <v>340</v>
      </c>
      <c r="S51" s="19">
        <f>E3_Verbraucher!$J18*(E3_Verbraucher!$J21&lt;S$42)+E3_Verbraucher!$J18*(E3_Verbraucher!$J21=S$42)*E3_Verbraucher!$J20</f>
        <v>340</v>
      </c>
    </row>
    <row r="52" spans="1:23" x14ac:dyDescent="0.2">
      <c r="B52" s="27" t="str">
        <f t="shared" si="2"/>
        <v>Hotel</v>
      </c>
      <c r="C52" s="27" t="s">
        <v>113</v>
      </c>
      <c r="D52" s="19">
        <f>E3_Verbraucher!$K18*(E3_Verbraucher!$K21&lt;D$42)+E3_Verbraucher!$K18*(E3_Verbraucher!$K21=D$42)*E3_Verbraucher!$K20</f>
        <v>0</v>
      </c>
      <c r="E52" s="19">
        <f>E3_Verbraucher!$K18*(E3_Verbraucher!$K21&lt;E$42)+E3_Verbraucher!$K18*(E3_Verbraucher!$K21=E$42)*E3_Verbraucher!$K20</f>
        <v>0</v>
      </c>
      <c r="F52" s="19">
        <f>E3_Verbraucher!$K18*(E3_Verbraucher!$K21&lt;F$42)+E3_Verbraucher!$K18*(E3_Verbraucher!$K21=F$42)*E3_Verbraucher!$K20</f>
        <v>0</v>
      </c>
      <c r="G52" s="19">
        <f>E3_Verbraucher!$K18*(E3_Verbraucher!$K21&lt;G$42)+E3_Verbraucher!$K18*(E3_Verbraucher!$K21=G$42)*E3_Verbraucher!$K20</f>
        <v>0</v>
      </c>
      <c r="H52" s="19">
        <f>E3_Verbraucher!$K18*(E3_Verbraucher!$K21&lt;H$42)+E3_Verbraucher!$K18*(E3_Verbraucher!$K21=H$42)*E3_Verbraucher!$K20</f>
        <v>170</v>
      </c>
      <c r="I52" s="19">
        <f>E3_Verbraucher!$K18*(E3_Verbraucher!$K21&lt;I$42)+E3_Verbraucher!$K18*(E3_Verbraucher!$K21=I$42)*E3_Verbraucher!$K20</f>
        <v>340</v>
      </c>
      <c r="J52" s="19">
        <f>E3_Verbraucher!$K18*(E3_Verbraucher!$K21&lt;J$42)+E3_Verbraucher!$K18*(E3_Verbraucher!$K21=J$42)*E3_Verbraucher!$K20</f>
        <v>340</v>
      </c>
      <c r="K52" s="19">
        <f>E3_Verbraucher!$K18*(E3_Verbraucher!$K21&lt;K$42)+E3_Verbraucher!$K18*(E3_Verbraucher!$K21=K$42)*E3_Verbraucher!$K20</f>
        <v>340</v>
      </c>
      <c r="L52" s="19">
        <f>E3_Verbraucher!$K18*(E3_Verbraucher!$K21&lt;L$42)+E3_Verbraucher!$K18*(E3_Verbraucher!$K21=L$42)*E3_Verbraucher!$K20</f>
        <v>340</v>
      </c>
      <c r="M52" s="19">
        <f>E3_Verbraucher!$K18*(E3_Verbraucher!$K21&lt;M$42)+E3_Verbraucher!$K18*(E3_Verbraucher!$K21=M$42)*E3_Verbraucher!$K20</f>
        <v>340</v>
      </c>
      <c r="N52" s="19">
        <f>E3_Verbraucher!$K18*(E3_Verbraucher!$K21&lt;N$42)+E3_Verbraucher!$K18*(E3_Verbraucher!$K21=N$42)*E3_Verbraucher!$K20</f>
        <v>340</v>
      </c>
      <c r="O52" s="19">
        <f>E3_Verbraucher!$K18*(E3_Verbraucher!$K21&lt;O$42)+E3_Verbraucher!$K18*(E3_Verbraucher!$K21=O$42)*E3_Verbraucher!$K20</f>
        <v>340</v>
      </c>
      <c r="P52" s="19">
        <f>E3_Verbraucher!$K18*(E3_Verbraucher!$K21&lt;P$42)+E3_Verbraucher!$K18*(E3_Verbraucher!$K21=P$42)*E3_Verbraucher!$K20</f>
        <v>340</v>
      </c>
      <c r="Q52" s="19">
        <f>E3_Verbraucher!$K18*(E3_Verbraucher!$K21&lt;Q$42)+E3_Verbraucher!$K18*(E3_Verbraucher!$K21=Q$42)*E3_Verbraucher!$K20</f>
        <v>340</v>
      </c>
      <c r="R52" s="19">
        <f>E3_Verbraucher!$K18*(E3_Verbraucher!$K21&lt;R$42)+E3_Verbraucher!$K18*(E3_Verbraucher!$K21=R$42)*E3_Verbraucher!$K20</f>
        <v>340</v>
      </c>
      <c r="S52" s="19">
        <f>E3_Verbraucher!$K18*(E3_Verbraucher!$K21&lt;S$42)+E3_Verbraucher!$K18*(E3_Verbraucher!$K21=S$42)*E3_Verbraucher!$K20</f>
        <v>340</v>
      </c>
    </row>
    <row r="53" spans="1:23" x14ac:dyDescent="0.2">
      <c r="B53" s="27" t="str">
        <f t="shared" si="2"/>
        <v>Hotel</v>
      </c>
      <c r="C53" s="27" t="s">
        <v>113</v>
      </c>
      <c r="D53" s="19">
        <f>E3_Verbraucher!$L18*(E3_Verbraucher!$L21&lt;D$42)+E3_Verbraucher!$L18*(E3_Verbraucher!$L21=D$42)*E3_Verbraucher!$L20</f>
        <v>0</v>
      </c>
      <c r="E53" s="19">
        <f>E3_Verbraucher!$L18*(E3_Verbraucher!$L21&lt;E$42)+E3_Verbraucher!$L18*(E3_Verbraucher!$L21=E$42)*E3_Verbraucher!$L20</f>
        <v>0</v>
      </c>
      <c r="F53" s="19">
        <f>E3_Verbraucher!$L18*(E3_Verbraucher!$L21&lt;F$42)+E3_Verbraucher!$L18*(E3_Verbraucher!$L21=F$42)*E3_Verbraucher!$L20</f>
        <v>0</v>
      </c>
      <c r="G53" s="19">
        <f>E3_Verbraucher!$L18*(E3_Verbraucher!$L21&lt;G$42)+E3_Verbraucher!$L18*(E3_Verbraucher!$L21=G$42)*E3_Verbraucher!$L20</f>
        <v>0</v>
      </c>
      <c r="H53" s="19">
        <f>E3_Verbraucher!$L18*(E3_Verbraucher!$L21&lt;H$42)+E3_Verbraucher!$L18*(E3_Verbraucher!$L21=H$42)*E3_Verbraucher!$L20</f>
        <v>127.5</v>
      </c>
      <c r="I53" s="19">
        <f>E3_Verbraucher!$L18*(E3_Verbraucher!$L21&lt;I$42)+E3_Verbraucher!$L18*(E3_Verbraucher!$L21=I$42)*E3_Verbraucher!$L20</f>
        <v>255</v>
      </c>
      <c r="J53" s="19">
        <f>E3_Verbraucher!$L18*(E3_Verbraucher!$L21&lt;J$42)+E3_Verbraucher!$L18*(E3_Verbraucher!$L21=J$42)*E3_Verbraucher!$L20</f>
        <v>255</v>
      </c>
      <c r="K53" s="19">
        <f>E3_Verbraucher!$L18*(E3_Verbraucher!$L21&lt;K$42)+E3_Verbraucher!$L18*(E3_Verbraucher!$L21=K$42)*E3_Verbraucher!$L20</f>
        <v>255</v>
      </c>
      <c r="L53" s="19">
        <f>E3_Verbraucher!$L18*(E3_Verbraucher!$L21&lt;L$42)+E3_Verbraucher!$L18*(E3_Verbraucher!$L21=L$42)*E3_Verbraucher!$L20</f>
        <v>255</v>
      </c>
      <c r="M53" s="19">
        <f>E3_Verbraucher!$L18*(E3_Verbraucher!$L21&lt;M$42)+E3_Verbraucher!$L18*(E3_Verbraucher!$L21=M$42)*E3_Verbraucher!$L20</f>
        <v>255</v>
      </c>
      <c r="N53" s="19">
        <f>E3_Verbraucher!$L18*(E3_Verbraucher!$L21&lt;N$42)+E3_Verbraucher!$L18*(E3_Verbraucher!$L21=N$42)*E3_Verbraucher!$L20</f>
        <v>255</v>
      </c>
      <c r="O53" s="19">
        <f>E3_Verbraucher!$L18*(E3_Verbraucher!$L21&lt;O$42)+E3_Verbraucher!$L18*(E3_Verbraucher!$L21=O$42)*E3_Verbraucher!$L20</f>
        <v>255</v>
      </c>
      <c r="P53" s="19">
        <f>E3_Verbraucher!$L18*(E3_Verbraucher!$L21&lt;P$42)+E3_Verbraucher!$L18*(E3_Verbraucher!$L21=P$42)*E3_Verbraucher!$L20</f>
        <v>255</v>
      </c>
      <c r="Q53" s="19">
        <f>E3_Verbraucher!$L18*(E3_Verbraucher!$L21&lt;Q$42)+E3_Verbraucher!$L18*(E3_Verbraucher!$L21=Q$42)*E3_Verbraucher!$L20</f>
        <v>255</v>
      </c>
      <c r="R53" s="19">
        <f>E3_Verbraucher!$L18*(E3_Verbraucher!$L21&lt;R$42)+E3_Verbraucher!$L18*(E3_Verbraucher!$L21=R$42)*E3_Verbraucher!$L20</f>
        <v>255</v>
      </c>
      <c r="S53" s="19">
        <f>E3_Verbraucher!$L18*(E3_Verbraucher!$L21&lt;S$42)+E3_Verbraucher!$L18*(E3_Verbraucher!$L21=S$42)*E3_Verbraucher!$L20</f>
        <v>255</v>
      </c>
    </row>
    <row r="54" spans="1:23" x14ac:dyDescent="0.2">
      <c r="B54" s="27" t="str">
        <f t="shared" si="2"/>
        <v>Schulhaus</v>
      </c>
      <c r="C54" s="27" t="s">
        <v>113</v>
      </c>
      <c r="D54" s="19">
        <f>E3_Verbraucher!$M18*(E3_Verbraucher!$M21&lt;D$42)+E3_Verbraucher!$M18*(E3_Verbraucher!$M21=D$42)*E3_Verbraucher!$M20</f>
        <v>150</v>
      </c>
      <c r="E54" s="19">
        <f>E3_Verbraucher!$M18*(E3_Verbraucher!$M21&lt;E$42)+E3_Verbraucher!$M18*(E3_Verbraucher!$M21=E$42)*E3_Verbraucher!$M20</f>
        <v>300</v>
      </c>
      <c r="F54" s="19">
        <f>E3_Verbraucher!$M18*(E3_Verbraucher!$M21&lt;F$42)+E3_Verbraucher!$M18*(E3_Verbraucher!$M21=F$42)*E3_Verbraucher!$M20</f>
        <v>300</v>
      </c>
      <c r="G54" s="19">
        <f>E3_Verbraucher!$M18*(E3_Verbraucher!$M21&lt;G$42)+E3_Verbraucher!$M18*(E3_Verbraucher!$M21=G$42)*E3_Verbraucher!$M20</f>
        <v>300</v>
      </c>
      <c r="H54" s="19">
        <f>E3_Verbraucher!$M18*(E3_Verbraucher!$M21&lt;H$42)+E3_Verbraucher!$M18*(E3_Verbraucher!$M21=H$42)*E3_Verbraucher!$M20</f>
        <v>300</v>
      </c>
      <c r="I54" s="19">
        <f>E3_Verbraucher!$M18*(E3_Verbraucher!$M21&lt;I$42)+E3_Verbraucher!$M18*(E3_Verbraucher!$M21=I$42)*E3_Verbraucher!$M20</f>
        <v>300</v>
      </c>
      <c r="J54" s="19">
        <f>E3_Verbraucher!$M18*(E3_Verbraucher!$M21&lt;J$42)+E3_Verbraucher!$M18*(E3_Verbraucher!$M21=J$42)*E3_Verbraucher!$M20</f>
        <v>300</v>
      </c>
      <c r="K54" s="19">
        <f>E3_Verbraucher!$M18*(E3_Verbraucher!$M21&lt;K$42)+E3_Verbraucher!$M18*(E3_Verbraucher!$M21=K$42)*E3_Verbraucher!$M20</f>
        <v>300</v>
      </c>
      <c r="L54" s="19">
        <f>E3_Verbraucher!$M18*(E3_Verbraucher!$M21&lt;L$42)+E3_Verbraucher!$M18*(E3_Verbraucher!$M21=L$42)*E3_Verbraucher!$M20</f>
        <v>300</v>
      </c>
      <c r="M54" s="19">
        <f>E3_Verbraucher!$M18*(E3_Verbraucher!$M21&lt;M$42)+E3_Verbraucher!$M18*(E3_Verbraucher!$M21=M$42)*E3_Verbraucher!$M20</f>
        <v>300</v>
      </c>
      <c r="N54" s="19">
        <f>E3_Verbraucher!$M18*(E3_Verbraucher!$M21&lt;N$42)+E3_Verbraucher!$M18*(E3_Verbraucher!$M21=N$42)*E3_Verbraucher!$M20</f>
        <v>300</v>
      </c>
      <c r="O54" s="19">
        <f>E3_Verbraucher!$M18*(E3_Verbraucher!$M21&lt;O$42)+E3_Verbraucher!$M18*(E3_Verbraucher!$M21=O$42)*E3_Verbraucher!$M20</f>
        <v>300</v>
      </c>
      <c r="P54" s="19">
        <f>E3_Verbraucher!$M18*(E3_Verbraucher!$M21&lt;P$42)+E3_Verbraucher!$M18*(E3_Verbraucher!$M21=P$42)*E3_Verbraucher!$M20</f>
        <v>300</v>
      </c>
      <c r="Q54" s="19">
        <f>E3_Verbraucher!$M18*(E3_Verbraucher!$M21&lt;Q$42)+E3_Verbraucher!$M18*(E3_Verbraucher!$M21=Q$42)*E3_Verbraucher!$M20</f>
        <v>300</v>
      </c>
      <c r="R54" s="19">
        <f>E3_Verbraucher!$M18*(E3_Verbraucher!$M21&lt;R$42)+E3_Verbraucher!$M18*(E3_Verbraucher!$M21=R$42)*E3_Verbraucher!$M20</f>
        <v>300</v>
      </c>
      <c r="S54" s="19">
        <f>E3_Verbraucher!$M18*(E3_Verbraucher!$M21&lt;S$42)+E3_Verbraucher!$M18*(E3_Verbraucher!$M21=S$42)*E3_Verbraucher!$M20</f>
        <v>300</v>
      </c>
    </row>
    <row r="55" spans="1:23" x14ac:dyDescent="0.2">
      <c r="B55" s="27" t="str">
        <f t="shared" si="2"/>
        <v>übrige</v>
      </c>
      <c r="C55" s="27" t="s">
        <v>113</v>
      </c>
      <c r="D55" s="19">
        <f>E3_Verbraucher!$N18*(E3_Verbraucher!$N21&lt;D$42)+E3_Verbraucher!$N18*(E3_Verbraucher!$N21=D$42)*E3_Verbraucher!$N20</f>
        <v>0</v>
      </c>
      <c r="E55" s="19">
        <f>E3_Verbraucher!$N18*(E3_Verbraucher!$N21&lt;E$42)+E3_Verbraucher!$N18*(E3_Verbraucher!$N21=E$42)*E3_Verbraucher!$N20</f>
        <v>0</v>
      </c>
      <c r="F55" s="19">
        <f>E3_Verbraucher!$N18*(E3_Verbraucher!$N21&lt;F$42)+E3_Verbraucher!$N18*(E3_Verbraucher!$N21=F$42)*E3_Verbraucher!$N20</f>
        <v>40</v>
      </c>
      <c r="G55" s="19">
        <f>E3_Verbraucher!$N18*(E3_Verbraucher!$N21&lt;G$42)+E3_Verbraucher!$N18*(E3_Verbraucher!$N21=G$42)*E3_Verbraucher!$N20</f>
        <v>80</v>
      </c>
      <c r="H55" s="19">
        <f>E3_Verbraucher!$N18*(E3_Verbraucher!$N21&lt;H$42)+E3_Verbraucher!$N18*(E3_Verbraucher!$N21=H$42)*E3_Verbraucher!$N20</f>
        <v>80</v>
      </c>
      <c r="I55" s="19">
        <f>E3_Verbraucher!$N18*(E3_Verbraucher!$N21&lt;I$42)+E3_Verbraucher!$N18*(E3_Verbraucher!$N21=I$42)*E3_Verbraucher!$N20</f>
        <v>80</v>
      </c>
      <c r="J55" s="19">
        <f>E3_Verbraucher!$N18*(E3_Verbraucher!$N21&lt;J$42)+E3_Verbraucher!$N18*(E3_Verbraucher!$N21=J$42)*E3_Verbraucher!$N20</f>
        <v>80</v>
      </c>
      <c r="K55" s="19">
        <f>E3_Verbraucher!$N18*(E3_Verbraucher!$N21&lt;K$42)+E3_Verbraucher!$N18*(E3_Verbraucher!$N21=K$42)*E3_Verbraucher!$N20</f>
        <v>80</v>
      </c>
      <c r="L55" s="19">
        <f>E3_Verbraucher!$N18*(E3_Verbraucher!$N21&lt;L$42)+E3_Verbraucher!$N18*(E3_Verbraucher!$N21=L$42)*E3_Verbraucher!$N20</f>
        <v>80</v>
      </c>
      <c r="M55" s="19">
        <f>E3_Verbraucher!$N18*(E3_Verbraucher!$N21&lt;M$42)+E3_Verbraucher!$N18*(E3_Verbraucher!$N21=M$42)*E3_Verbraucher!$N20</f>
        <v>80</v>
      </c>
      <c r="N55" s="19">
        <f>E3_Verbraucher!$N18*(E3_Verbraucher!$N21&lt;N$42)+E3_Verbraucher!$N18*(E3_Verbraucher!$N21=N$42)*E3_Verbraucher!$N20</f>
        <v>80</v>
      </c>
      <c r="O55" s="19">
        <f>E3_Verbraucher!$N18*(E3_Verbraucher!$N21&lt;O$42)+E3_Verbraucher!$N18*(E3_Verbraucher!$N21=O$42)*E3_Verbraucher!$N20</f>
        <v>80</v>
      </c>
      <c r="P55" s="19">
        <f>E3_Verbraucher!$N18*(E3_Verbraucher!$N21&lt;P$42)+E3_Verbraucher!$N18*(E3_Verbraucher!$N21=P$42)*E3_Verbraucher!$N20</f>
        <v>80</v>
      </c>
      <c r="Q55" s="19">
        <f>E3_Verbraucher!$N18*(E3_Verbraucher!$N21&lt;Q$42)+E3_Verbraucher!$N18*(E3_Verbraucher!$N21=Q$42)*E3_Verbraucher!$N20</f>
        <v>80</v>
      </c>
      <c r="R55" s="19">
        <f>E3_Verbraucher!$N18*(E3_Verbraucher!$N21&lt;R$42)+E3_Verbraucher!$N18*(E3_Verbraucher!$N21=R$42)*E3_Verbraucher!$N20</f>
        <v>80</v>
      </c>
      <c r="S55" s="19">
        <f>E3_Verbraucher!$N18*(E3_Verbraucher!$N21&lt;S$42)+E3_Verbraucher!$N18*(E3_Verbraucher!$N21=S$42)*E3_Verbraucher!$N20</f>
        <v>80</v>
      </c>
    </row>
    <row r="56" spans="1:23" x14ac:dyDescent="0.2">
      <c r="B56" s="27" t="str">
        <f t="shared" si="2"/>
        <v>übrige</v>
      </c>
      <c r="C56" s="27" t="s">
        <v>113</v>
      </c>
      <c r="D56" s="19">
        <f>E3_Verbraucher!$O18*(E3_Verbraucher!$O21&lt;D$42)+E3_Verbraucher!$O18*(E3_Verbraucher!$O21=D$42)*E3_Verbraucher!$O20</f>
        <v>0</v>
      </c>
      <c r="E56" s="19">
        <f>E3_Verbraucher!$O18*(E3_Verbraucher!$O21&lt;E$42)+E3_Verbraucher!$O18*(E3_Verbraucher!$O21=E$42)*E3_Verbraucher!$O20</f>
        <v>0</v>
      </c>
      <c r="F56" s="19">
        <f>E3_Verbraucher!$O18*(E3_Verbraucher!$O21&lt;F$42)+E3_Verbraucher!$O18*(E3_Verbraucher!$O21=F$42)*E3_Verbraucher!$O20</f>
        <v>0</v>
      </c>
      <c r="G56" s="19">
        <f>E3_Verbraucher!$O18*(E3_Verbraucher!$O21&lt;G$42)+E3_Verbraucher!$O18*(E3_Verbraucher!$O21=G$42)*E3_Verbraucher!$O20</f>
        <v>0</v>
      </c>
      <c r="H56" s="19">
        <f>E3_Verbraucher!$O18*(E3_Verbraucher!$O21&lt;H$42)+E3_Verbraucher!$O18*(E3_Verbraucher!$O21=H$42)*E3_Verbraucher!$O20</f>
        <v>0</v>
      </c>
      <c r="I56" s="19">
        <f>E3_Verbraucher!$O18*(E3_Verbraucher!$O21&lt;I$42)+E3_Verbraucher!$O18*(E3_Verbraucher!$O21=I$42)*E3_Verbraucher!$O20</f>
        <v>0</v>
      </c>
      <c r="J56" s="19">
        <f>E3_Verbraucher!$O18*(E3_Verbraucher!$O21&lt;J$42)+E3_Verbraucher!$O18*(E3_Verbraucher!$O21=J$42)*E3_Verbraucher!$O20</f>
        <v>60</v>
      </c>
      <c r="K56" s="19">
        <f>E3_Verbraucher!$O18*(E3_Verbraucher!$O21&lt;K$42)+E3_Verbraucher!$O18*(E3_Verbraucher!$O21=K$42)*E3_Verbraucher!$O20</f>
        <v>120</v>
      </c>
      <c r="L56" s="19">
        <f>E3_Verbraucher!$O18*(E3_Verbraucher!$O21&lt;L$42)+E3_Verbraucher!$O18*(E3_Verbraucher!$O21=L$42)*E3_Verbraucher!$O20</f>
        <v>120</v>
      </c>
      <c r="M56" s="19">
        <f>E3_Verbraucher!$O18*(E3_Verbraucher!$O21&lt;M$42)+E3_Verbraucher!$O18*(E3_Verbraucher!$O21=M$42)*E3_Verbraucher!$O20</f>
        <v>120</v>
      </c>
      <c r="N56" s="19">
        <f>E3_Verbraucher!$O18*(E3_Verbraucher!$O21&lt;N$42)+E3_Verbraucher!$O18*(E3_Verbraucher!$O21=N$42)*E3_Verbraucher!$O20</f>
        <v>120</v>
      </c>
      <c r="O56" s="19">
        <f>E3_Verbraucher!$O18*(E3_Verbraucher!$O21&lt;O$42)+E3_Verbraucher!$O18*(E3_Verbraucher!$O21=O$42)*E3_Verbraucher!$O20</f>
        <v>120</v>
      </c>
      <c r="P56" s="19">
        <f>E3_Verbraucher!$O18*(E3_Verbraucher!$O21&lt;P$42)+E3_Verbraucher!$O18*(E3_Verbraucher!$O21=P$42)*E3_Verbraucher!$O20</f>
        <v>120</v>
      </c>
      <c r="Q56" s="19">
        <f>E3_Verbraucher!$O18*(E3_Verbraucher!$O21&lt;Q$42)+E3_Verbraucher!$O18*(E3_Verbraucher!$O21=Q$42)*E3_Verbraucher!$O20</f>
        <v>120</v>
      </c>
      <c r="R56" s="19">
        <f>E3_Verbraucher!$O18*(E3_Verbraucher!$O21&lt;R$42)+E3_Verbraucher!$O18*(E3_Verbraucher!$O21=R$42)*E3_Verbraucher!$O20</f>
        <v>120</v>
      </c>
      <c r="S56" s="19">
        <f>E3_Verbraucher!$O18*(E3_Verbraucher!$O21&lt;S$42)+E3_Verbraucher!$O18*(E3_Verbraucher!$O21=S$42)*E3_Verbraucher!$O20</f>
        <v>120</v>
      </c>
    </row>
    <row r="57" spans="1:23" x14ac:dyDescent="0.2">
      <c r="B57" s="27" t="str">
        <f t="shared" si="2"/>
        <v>Hotel</v>
      </c>
      <c r="C57" s="27" t="s">
        <v>113</v>
      </c>
      <c r="D57" s="19">
        <f>E3_Verbraucher!$P18*(E3_Verbraucher!$P21&lt;D$42)+E3_Verbraucher!$P18*(E3_Verbraucher!$P21=D$42)*E3_Verbraucher!$P20</f>
        <v>212.5</v>
      </c>
      <c r="E57" s="19">
        <f>E3_Verbraucher!$P18*(E3_Verbraucher!$P21&lt;E$42)+E3_Verbraucher!$P18*(E3_Verbraucher!$P21=E$42)*E3_Verbraucher!$P20</f>
        <v>425</v>
      </c>
      <c r="F57" s="19">
        <f>E3_Verbraucher!$P18*(E3_Verbraucher!$P21&lt;F$42)+E3_Verbraucher!$P18*(E3_Verbraucher!$P21=F$42)*E3_Verbraucher!$P20</f>
        <v>425</v>
      </c>
      <c r="G57" s="19">
        <f>E3_Verbraucher!$P18*(E3_Verbraucher!$P21&lt;G$42)+E3_Verbraucher!$P18*(E3_Verbraucher!$P21=G$42)*E3_Verbraucher!$P20</f>
        <v>425</v>
      </c>
      <c r="H57" s="19">
        <f>E3_Verbraucher!$P18*(E3_Verbraucher!$P21&lt;H$42)+E3_Verbraucher!$P18*(E3_Verbraucher!$P21=H$42)*E3_Verbraucher!$P20</f>
        <v>425</v>
      </c>
      <c r="I57" s="19">
        <f>E3_Verbraucher!$P18*(E3_Verbraucher!$P21&lt;I$42)+E3_Verbraucher!$P18*(E3_Verbraucher!$P21=I$42)*E3_Verbraucher!$P20</f>
        <v>425</v>
      </c>
      <c r="J57" s="19">
        <f>E3_Verbraucher!$P18*(E3_Verbraucher!$P21&lt;J$42)+E3_Verbraucher!$P18*(E3_Verbraucher!$P21=J$42)*E3_Verbraucher!$P20</f>
        <v>425</v>
      </c>
      <c r="K57" s="19">
        <f>E3_Verbraucher!$P18*(E3_Verbraucher!$P21&lt;K$42)+E3_Verbraucher!$P18*(E3_Verbraucher!$P21=K$42)*E3_Verbraucher!$P20</f>
        <v>425</v>
      </c>
      <c r="L57" s="19">
        <f>E3_Verbraucher!$P18*(E3_Verbraucher!$P21&lt;L$42)+E3_Verbraucher!$P18*(E3_Verbraucher!$P21=L$42)*E3_Verbraucher!$P20</f>
        <v>425</v>
      </c>
      <c r="M57" s="19">
        <f>E3_Verbraucher!$P18*(E3_Verbraucher!$P21&lt;M$42)+E3_Verbraucher!$P18*(E3_Verbraucher!$P21=M$42)*E3_Verbraucher!$P20</f>
        <v>425</v>
      </c>
      <c r="N57" s="19">
        <f>E3_Verbraucher!$P18*(E3_Verbraucher!$P21&lt;N$42)+E3_Verbraucher!$P18*(E3_Verbraucher!$P21=N$42)*E3_Verbraucher!$P20</f>
        <v>425</v>
      </c>
      <c r="O57" s="19">
        <f>E3_Verbraucher!$P18*(E3_Verbraucher!$P21&lt;O$42)+E3_Verbraucher!$P18*(E3_Verbraucher!$P21=O$42)*E3_Verbraucher!$P20</f>
        <v>425</v>
      </c>
      <c r="P57" s="19">
        <f>E3_Verbraucher!$P18*(E3_Verbraucher!$P21&lt;P$42)+E3_Verbraucher!$P18*(E3_Verbraucher!$P21=P$42)*E3_Verbraucher!$P20</f>
        <v>425</v>
      </c>
      <c r="Q57" s="19">
        <f>E3_Verbraucher!$P18*(E3_Verbraucher!$P21&lt;Q$42)+E3_Verbraucher!$P18*(E3_Verbraucher!$P21=Q$42)*E3_Verbraucher!$P20</f>
        <v>425</v>
      </c>
      <c r="R57" s="19">
        <f>E3_Verbraucher!$P18*(E3_Verbraucher!$P21&lt;R$42)+E3_Verbraucher!$P18*(E3_Verbraucher!$P21=R$42)*E3_Verbraucher!$P20</f>
        <v>425</v>
      </c>
      <c r="S57" s="19">
        <f>E3_Verbraucher!$P18*(E3_Verbraucher!$P21&lt;S$42)+E3_Verbraucher!$P18*(E3_Verbraucher!$P21=S$42)*E3_Verbraucher!$P20</f>
        <v>425</v>
      </c>
    </row>
    <row r="58" spans="1:23" x14ac:dyDescent="0.2">
      <c r="B58" s="27" t="str">
        <f t="shared" si="2"/>
        <v>Hotel</v>
      </c>
      <c r="C58" s="27" t="s">
        <v>113</v>
      </c>
      <c r="D58" s="19">
        <f>E3_Verbraucher!$Q18*(E3_Verbraucher!$Q21&lt;D$42)+E3_Verbraucher!$Q18*(E3_Verbraucher!$Q21=D$42)*E3_Verbraucher!$Q20</f>
        <v>0</v>
      </c>
      <c r="E58" s="19">
        <f>E3_Verbraucher!$Q18*(E3_Verbraucher!$Q21&lt;E$42)+E3_Verbraucher!$Q18*(E3_Verbraucher!$Q21=E$42)*E3_Verbraucher!$Q20</f>
        <v>0</v>
      </c>
      <c r="F58" s="19">
        <f>E3_Verbraucher!$Q18*(E3_Verbraucher!$Q21&lt;F$42)+E3_Verbraucher!$Q18*(E3_Verbraucher!$Q21=F$42)*E3_Verbraucher!$Q20</f>
        <v>250</v>
      </c>
      <c r="G58" s="19">
        <f>E3_Verbraucher!$Q18*(E3_Verbraucher!$Q21&lt;G$42)+E3_Verbraucher!$Q18*(E3_Verbraucher!$Q21=G$42)*E3_Verbraucher!$Q20</f>
        <v>500</v>
      </c>
      <c r="H58" s="19">
        <f>E3_Verbraucher!$Q18*(E3_Verbraucher!$Q21&lt;H$42)+E3_Verbraucher!$Q18*(E3_Verbraucher!$Q21=H$42)*E3_Verbraucher!$Q20</f>
        <v>500</v>
      </c>
      <c r="I58" s="19">
        <f>E3_Verbraucher!$Q18*(E3_Verbraucher!$Q21&lt;I$42)+E3_Verbraucher!$Q18*(E3_Verbraucher!$Q21=I$42)*E3_Verbraucher!$Q20</f>
        <v>500</v>
      </c>
      <c r="J58" s="19">
        <f>E3_Verbraucher!$Q18*(E3_Verbraucher!$Q21&lt;J$42)+E3_Verbraucher!$Q18*(E3_Verbraucher!$Q21=J$42)*E3_Verbraucher!$Q20</f>
        <v>500</v>
      </c>
      <c r="K58" s="19">
        <f>E3_Verbraucher!$Q18*(E3_Verbraucher!$Q21&lt;K$42)+E3_Verbraucher!$Q18*(E3_Verbraucher!$Q21=K$42)*E3_Verbraucher!$Q20</f>
        <v>500</v>
      </c>
      <c r="L58" s="19">
        <f>E3_Verbraucher!$Q18*(E3_Verbraucher!$Q21&lt;L$42)+E3_Verbraucher!$Q18*(E3_Verbraucher!$Q21=L$42)*E3_Verbraucher!$Q20</f>
        <v>500</v>
      </c>
      <c r="M58" s="19">
        <f>E3_Verbraucher!$Q18*(E3_Verbraucher!$Q21&lt;M$42)+E3_Verbraucher!$Q18*(E3_Verbraucher!$Q21=M$42)*E3_Verbraucher!$Q20</f>
        <v>500</v>
      </c>
      <c r="N58" s="19">
        <f>E3_Verbraucher!$Q18*(E3_Verbraucher!$Q21&lt;N$42)+E3_Verbraucher!$Q18*(E3_Verbraucher!$Q21=N$42)*E3_Verbraucher!$Q20</f>
        <v>500</v>
      </c>
      <c r="O58" s="19">
        <f>E3_Verbraucher!$Q18*(E3_Verbraucher!$Q21&lt;O$42)+E3_Verbraucher!$Q18*(E3_Verbraucher!$Q21=O$42)*E3_Verbraucher!$Q20</f>
        <v>500</v>
      </c>
      <c r="P58" s="19">
        <f>E3_Verbraucher!$Q18*(E3_Verbraucher!$Q21&lt;P$42)+E3_Verbraucher!$Q18*(E3_Verbraucher!$Q21=P$42)*E3_Verbraucher!$Q20</f>
        <v>500</v>
      </c>
      <c r="Q58" s="19">
        <f>E3_Verbraucher!$Q18*(E3_Verbraucher!$Q21&lt;Q$42)+E3_Verbraucher!$Q18*(E3_Verbraucher!$Q21=Q$42)*E3_Verbraucher!$Q20</f>
        <v>500</v>
      </c>
      <c r="R58" s="19">
        <f>E3_Verbraucher!$Q18*(E3_Verbraucher!$Q21&lt;R$42)+E3_Verbraucher!$Q18*(E3_Verbraucher!$Q21=R$42)*E3_Verbraucher!$Q20</f>
        <v>500</v>
      </c>
      <c r="S58" s="19">
        <f>E3_Verbraucher!$Q18*(E3_Verbraucher!$Q21&lt;S$42)+E3_Verbraucher!$Q18*(E3_Verbraucher!$Q21=S$42)*E3_Verbraucher!$Q20</f>
        <v>500</v>
      </c>
    </row>
    <row r="59" spans="1:23" x14ac:dyDescent="0.2">
      <c r="B59" s="27" t="str">
        <f t="shared" si="2"/>
        <v>Hotel</v>
      </c>
      <c r="C59" s="27" t="s">
        <v>113</v>
      </c>
      <c r="D59" s="19">
        <f>E3_Verbraucher!$R18*(E3_Verbraucher!$R21&lt;D$42)+E3_Verbraucher!$R18*(E3_Verbraucher!$R21=D$42)*E3_Verbraucher!$R20</f>
        <v>0</v>
      </c>
      <c r="E59" s="19">
        <f>E3_Verbraucher!$R18*(E3_Verbraucher!$R21&lt;E$42)+E3_Verbraucher!$R18*(E3_Verbraucher!$R21=E$42)*E3_Verbraucher!$R20</f>
        <v>0</v>
      </c>
      <c r="F59" s="19">
        <f>E3_Verbraucher!$R18*(E3_Verbraucher!$R21&lt;F$42)+E3_Verbraucher!$R18*(E3_Verbraucher!$R21=F$42)*E3_Verbraucher!$R20</f>
        <v>0</v>
      </c>
      <c r="G59" s="19">
        <f>E3_Verbraucher!$R18*(E3_Verbraucher!$R21&lt;G$42)+E3_Verbraucher!$R18*(E3_Verbraucher!$R21=G$42)*E3_Verbraucher!$R20</f>
        <v>0</v>
      </c>
      <c r="H59" s="19">
        <f>E3_Verbraucher!$R18*(E3_Verbraucher!$R21&lt;H$42)+E3_Verbraucher!$R18*(E3_Verbraucher!$R21=H$42)*E3_Verbraucher!$R20</f>
        <v>0</v>
      </c>
      <c r="I59" s="19">
        <f>E3_Verbraucher!$R18*(E3_Verbraucher!$R21&lt;I$42)+E3_Verbraucher!$R18*(E3_Verbraucher!$R21=I$42)*E3_Verbraucher!$R20</f>
        <v>0</v>
      </c>
      <c r="J59" s="19">
        <f>E3_Verbraucher!$R18*(E3_Verbraucher!$R21&lt;J$42)+E3_Verbraucher!$R18*(E3_Verbraucher!$R21=J$42)*E3_Verbraucher!$R20</f>
        <v>0</v>
      </c>
      <c r="K59" s="19">
        <f>E3_Verbraucher!$R18*(E3_Verbraucher!$R21&lt;K$42)+E3_Verbraucher!$R18*(E3_Verbraucher!$R21=K$42)*E3_Verbraucher!$R20</f>
        <v>0</v>
      </c>
      <c r="L59" s="19">
        <f>E3_Verbraucher!$R18*(E3_Verbraucher!$R21&lt;L$42)+E3_Verbraucher!$R18*(E3_Verbraucher!$R21=L$42)*E3_Verbraucher!$R20</f>
        <v>0</v>
      </c>
      <c r="M59" s="19">
        <f>E3_Verbraucher!$R18*(E3_Verbraucher!$R21&lt;M$42)+E3_Verbraucher!$R18*(E3_Verbraucher!$R21=M$42)*E3_Verbraucher!$R20</f>
        <v>255</v>
      </c>
      <c r="N59" s="19">
        <f>E3_Verbraucher!$R18*(E3_Verbraucher!$R21&lt;N$42)+E3_Verbraucher!$R18*(E3_Verbraucher!$R21=N$42)*E3_Verbraucher!$R20</f>
        <v>510</v>
      </c>
      <c r="O59" s="19">
        <f>E3_Verbraucher!$R18*(E3_Verbraucher!$R21&lt;O$42)+E3_Verbraucher!$R18*(E3_Verbraucher!$R21=O$42)*E3_Verbraucher!$R20</f>
        <v>510</v>
      </c>
      <c r="P59" s="19">
        <f>E3_Verbraucher!$R18*(E3_Verbraucher!$R21&lt;P$42)+E3_Verbraucher!$R18*(E3_Verbraucher!$R21=P$42)*E3_Verbraucher!$R20</f>
        <v>510</v>
      </c>
      <c r="Q59" s="19">
        <f>E3_Verbraucher!$R18*(E3_Verbraucher!$R21&lt;Q$42)+E3_Verbraucher!$R18*(E3_Verbraucher!$R21=Q$42)*E3_Verbraucher!$R20</f>
        <v>510</v>
      </c>
      <c r="R59" s="19">
        <f>E3_Verbraucher!$R18*(E3_Verbraucher!$R21&lt;R$42)+E3_Verbraucher!$R18*(E3_Verbraucher!$R21=R$42)*E3_Verbraucher!$R20</f>
        <v>510</v>
      </c>
      <c r="S59" s="19">
        <f>E3_Verbraucher!$R18*(E3_Verbraucher!$R21&lt;S$42)+E3_Verbraucher!$R18*(E3_Verbraucher!$R21=S$42)*E3_Verbraucher!$R20</f>
        <v>510</v>
      </c>
    </row>
    <row r="60" spans="1:23" x14ac:dyDescent="0.2">
      <c r="B60" s="16" t="s">
        <v>117</v>
      </c>
      <c r="C60" s="16"/>
      <c r="D60" s="16"/>
      <c r="E60" s="16"/>
      <c r="F60" s="16"/>
      <c r="G60" s="16"/>
      <c r="H60" s="16"/>
      <c r="I60" s="16"/>
      <c r="J60" s="16"/>
      <c r="K60" s="16"/>
      <c r="L60" s="16"/>
      <c r="M60" s="16"/>
      <c r="N60" s="16"/>
      <c r="O60" s="16"/>
      <c r="P60" s="16"/>
      <c r="Q60" s="16"/>
      <c r="R60" s="16"/>
      <c r="S60" s="16"/>
      <c r="T60" s="26"/>
      <c r="U60" s="26"/>
      <c r="V60" s="26"/>
      <c r="W60" s="26"/>
    </row>
    <row r="61" spans="1:23" x14ac:dyDescent="0.2">
      <c r="A61" s="3">
        <v>922</v>
      </c>
      <c r="B61" s="27" t="s">
        <v>116</v>
      </c>
      <c r="C61" s="27" t="s">
        <v>113</v>
      </c>
      <c r="D61" s="19">
        <f>_xlfn.XLOOKUP(D42,B1_Berechnungen!$B$44:$B$68,B1_Berechnungen!$C$44:$C$68)*Eing_Spez_Stromverbrauch/100</f>
        <v>84.255929999999992</v>
      </c>
      <c r="E61" s="19">
        <f>_xlfn.XLOOKUP(E42,B1_Berechnungen!$B$44:$B$68,B1_Berechnungen!$C$44:$C$68)*Eing_Spez_Stromverbrauch/100</f>
        <v>204.3557505</v>
      </c>
      <c r="F61" s="19">
        <f>_xlfn.XLOOKUP(F42,B1_Berechnungen!$B$44:$B$68,B1_Berechnungen!$C$44:$C$68)*Eing_Spez_Stromverbrauch/100</f>
        <v>278.850348414</v>
      </c>
      <c r="G61" s="19">
        <f>_xlfn.XLOOKUP(G42,B1_Berechnungen!$B$44:$B$68,B1_Berechnungen!$C$44:$C$68)*Eing_Spez_Stromverbrauch/100</f>
        <v>317.69407600325997</v>
      </c>
      <c r="H61" s="19">
        <f>_xlfn.XLOOKUP(H42,B1_Berechnungen!$B$44:$B$68,B1_Berechnungen!$C$44:$C$68)*Eing_Spez_Stromverbrauch/100</f>
        <v>335.07278517181584</v>
      </c>
      <c r="I61" s="19">
        <f>_xlfn.XLOOKUP(I42,B1_Berechnungen!$B$44:$B$68,B1_Berechnungen!$C$44:$C$68)*Eing_Spez_Stromverbrauch/100</f>
        <v>349.48308033854761</v>
      </c>
      <c r="J61" s="19">
        <f>_xlfn.XLOOKUP(J42,B1_Berechnungen!$B$44:$B$68,B1_Berechnungen!$C$44:$C$68)*Eing_Spez_Stromverbrauch/100</f>
        <v>347.21857579439927</v>
      </c>
      <c r="K61" s="19">
        <f>_xlfn.XLOOKUP(K42,B1_Berechnungen!$B$44:$B$68,B1_Berechnungen!$C$44:$C$68)*Eing_Spez_Stromverbrauch/100</f>
        <v>344.96441303310013</v>
      </c>
      <c r="L61" s="19">
        <f>_xlfn.XLOOKUP(L42,B1_Berechnungen!$B$44:$B$68,B1_Berechnungen!$C$44:$C$68)*Eing_Spez_Stromverbrauch/100</f>
        <v>341.51476890276916</v>
      </c>
      <c r="M61" s="19">
        <f>_xlfn.XLOOKUP(M42,B1_Berechnungen!$B$44:$B$68,B1_Berechnungen!$C$44:$C$68)*Eing_Spez_Stromverbrauch/100</f>
        <v>343.17320465454088</v>
      </c>
      <c r="N61" s="19">
        <f>_xlfn.XLOOKUP(N42,B1_Berechnungen!$B$44:$B$68,B1_Berechnungen!$C$44:$C$68)*Eing_Spez_Stromverbrauch/100</f>
        <v>344.76432021438683</v>
      </c>
      <c r="O61" s="19">
        <f>_xlfn.XLOOKUP(O42,B1_Berechnungen!$B$44:$B$68,B1_Berechnungen!$C$44:$C$68)*Eing_Spez_Stromverbrauch/100</f>
        <v>341.31667701224296</v>
      </c>
      <c r="P61" s="19">
        <f>_xlfn.XLOOKUP(P42,B1_Berechnungen!$B$44:$B$68,B1_Berechnungen!$C$44:$C$68)*Eing_Spez_Stromverbrauch/100</f>
        <v>337.90351024212055</v>
      </c>
      <c r="Q61" s="19">
        <f>_xlfn.XLOOKUP(Q42,B1_Berechnungen!$B$44:$B$68,B1_Berechnungen!$C$44:$C$68)*Eing_Spez_Stromverbrauch/100</f>
        <v>334.52447513969935</v>
      </c>
      <c r="R61" s="19">
        <f>_xlfn.XLOOKUP(R42,B1_Berechnungen!$B$44:$B$68,B1_Berechnungen!$C$44:$C$68)*Eing_Spez_Stromverbrauch/100</f>
        <v>331.1792303883023</v>
      </c>
      <c r="S61" s="19">
        <f>_xlfn.XLOOKUP(S42,B1_Berechnungen!$B$44:$B$68,B1_Berechnungen!$C$44:$C$68)*Eing_Spez_Stromverbrauch/100</f>
        <v>327.86743808441929</v>
      </c>
    </row>
    <row r="62" spans="1:23" x14ac:dyDescent="0.2">
      <c r="B62" s="14" t="s">
        <v>132</v>
      </c>
      <c r="C62" s="14"/>
      <c r="D62" s="14">
        <f>Eing_Beginnjahr</f>
        <v>2024</v>
      </c>
      <c r="E62" s="14">
        <f>D62+1</f>
        <v>2025</v>
      </c>
      <c r="F62" s="14">
        <f t="shared" ref="F62:U62" si="3">E62+1</f>
        <v>2026</v>
      </c>
      <c r="G62" s="14">
        <f t="shared" si="3"/>
        <v>2027</v>
      </c>
      <c r="H62" s="14">
        <f t="shared" si="3"/>
        <v>2028</v>
      </c>
      <c r="I62" s="14">
        <f t="shared" si="3"/>
        <v>2029</v>
      </c>
      <c r="J62" s="14">
        <f t="shared" si="3"/>
        <v>2030</v>
      </c>
      <c r="K62" s="14">
        <f t="shared" si="3"/>
        <v>2031</v>
      </c>
      <c r="L62" s="14">
        <f t="shared" si="3"/>
        <v>2032</v>
      </c>
      <c r="M62" s="14">
        <f t="shared" si="3"/>
        <v>2033</v>
      </c>
      <c r="N62" s="14">
        <f t="shared" si="3"/>
        <v>2034</v>
      </c>
      <c r="O62" s="14">
        <f t="shared" si="3"/>
        <v>2035</v>
      </c>
      <c r="P62" s="14">
        <f t="shared" si="3"/>
        <v>2036</v>
      </c>
      <c r="Q62" s="14">
        <f t="shared" si="3"/>
        <v>2037</v>
      </c>
      <c r="R62" s="14">
        <f t="shared" si="3"/>
        <v>2038</v>
      </c>
      <c r="S62" s="14">
        <f t="shared" si="3"/>
        <v>2039</v>
      </c>
      <c r="T62" s="14">
        <f t="shared" si="3"/>
        <v>2040</v>
      </c>
      <c r="U62" s="14">
        <f t="shared" si="3"/>
        <v>2041</v>
      </c>
      <c r="V62" s="26">
        <f t="shared" ref="V62" si="4">U62+1</f>
        <v>2042</v>
      </c>
    </row>
    <row r="63" spans="1:23" x14ac:dyDescent="0.2">
      <c r="B63" s="16" t="s">
        <v>99</v>
      </c>
      <c r="C63" s="16"/>
      <c r="D63" s="16"/>
      <c r="E63" s="16"/>
      <c r="F63" s="16"/>
      <c r="G63" s="16"/>
      <c r="H63" s="16"/>
      <c r="I63" s="16"/>
      <c r="J63" s="16"/>
      <c r="K63" s="16"/>
      <c r="L63" s="16"/>
      <c r="M63" s="16"/>
      <c r="N63" s="16"/>
      <c r="O63" s="16"/>
      <c r="P63" s="16"/>
      <c r="Q63" s="16"/>
      <c r="R63" s="16"/>
      <c r="S63" s="16"/>
      <c r="T63" s="16"/>
      <c r="U63" s="16"/>
      <c r="V63" s="26"/>
    </row>
    <row r="64" spans="1:23" x14ac:dyDescent="0.2">
      <c r="B64" s="28" t="s">
        <v>118</v>
      </c>
      <c r="C64" s="27" t="s">
        <v>119</v>
      </c>
      <c r="D64" s="29"/>
      <c r="E64" s="29"/>
      <c r="F64" s="29"/>
      <c r="G64" s="29"/>
      <c r="H64" s="29"/>
      <c r="I64" s="29"/>
      <c r="J64" s="29"/>
      <c r="K64" s="29"/>
      <c r="L64" s="29"/>
      <c r="M64" s="29"/>
      <c r="N64" s="29"/>
      <c r="O64" s="29"/>
      <c r="P64" s="29"/>
      <c r="Q64" s="29"/>
      <c r="R64" s="29"/>
      <c r="S64" s="29"/>
      <c r="T64" s="29"/>
      <c r="U64" s="29"/>
      <c r="V64" s="29"/>
    </row>
    <row r="65" spans="1:22" x14ac:dyDescent="0.2">
      <c r="A65" s="3">
        <v>923</v>
      </c>
      <c r="B65" s="30" t="s">
        <v>120</v>
      </c>
      <c r="C65" s="27" t="s">
        <v>119</v>
      </c>
      <c r="D65" s="19">
        <f>_xlfn.XLOOKUP(D42,B1_Berechnungen!$B$44:$B$68,B1_Berechnungen!$E$44:$E$68)*Kapitalkosten_Wärmeverteilung/SUM(E1_Projektdaten!$D$155:$D$156)</f>
        <v>7639789.2248950256</v>
      </c>
      <c r="E65" s="19">
        <f>_xlfn.XLOOKUP(E42,B1_Berechnungen!$B$44:$B$68,B1_Berechnungen!$E$44:$E$68)*Kapitalkosten_Wärmeverteilung/SUM(E1_Projektdaten!$D$155:$D$156)</f>
        <v>1909947.3062237564</v>
      </c>
      <c r="F65" s="19">
        <f>_xlfn.XLOOKUP(F42,B1_Berechnungen!$B$44:$B$68,B1_Berechnungen!$E$44:$E$68)*Kapitalkosten_Wärmeverteilung/SUM(E1_Projektdaten!$D$155:$D$156)</f>
        <v>0</v>
      </c>
      <c r="G65" s="19">
        <f>_xlfn.XLOOKUP(G42,B1_Berechnungen!$B$44:$B$68,B1_Berechnungen!$E$44:$E$68)*Kapitalkosten_Wärmeverteilung/SUM(E1_Projektdaten!$D$155:$D$156)</f>
        <v>0</v>
      </c>
      <c r="H65" s="19">
        <f>_xlfn.XLOOKUP(H42,B1_Berechnungen!$B$44:$B$68,B1_Berechnungen!$E$44:$E$68)*Kapitalkosten_Wärmeverteilung/SUM(E1_Projektdaten!$D$155:$D$156)</f>
        <v>0</v>
      </c>
      <c r="I65" s="19">
        <f>_xlfn.XLOOKUP(I42,B1_Berechnungen!$B$44:$B$68,B1_Berechnungen!$E$44:$E$68)*Kapitalkosten_Wärmeverteilung/SUM(E1_Projektdaten!$D$155:$D$156)</f>
        <v>0</v>
      </c>
      <c r="J65" s="19">
        <f>_xlfn.XLOOKUP(J42,B1_Berechnungen!$B$44:$B$68,B1_Berechnungen!$E$44:$E$68)*Kapitalkosten_Wärmeverteilung/SUM(E1_Projektdaten!$D$155:$D$156)</f>
        <v>0</v>
      </c>
      <c r="K65" s="19">
        <f>_xlfn.XLOOKUP(K42,B1_Berechnungen!$B$44:$B$68,B1_Berechnungen!$E$44:$E$68)*Kapitalkosten_Wärmeverteilung/SUM(E1_Projektdaten!$D$155:$D$156)</f>
        <v>0</v>
      </c>
      <c r="L65" s="19">
        <f>_xlfn.XLOOKUP(L42,B1_Berechnungen!$B$44:$B$68,B1_Berechnungen!$E$44:$E$68)*Kapitalkosten_Wärmeverteilung/SUM(E1_Projektdaten!$D$155:$D$156)</f>
        <v>0</v>
      </c>
      <c r="M65" s="19">
        <f>_xlfn.XLOOKUP(M42,B1_Berechnungen!$B$44:$B$68,B1_Berechnungen!$E$44:$E$68)*Kapitalkosten_Wärmeverteilung/SUM(E1_Projektdaten!$D$155:$D$156)</f>
        <v>0</v>
      </c>
      <c r="N65" s="19">
        <f>_xlfn.XLOOKUP(N42,B1_Berechnungen!$B$44:$B$68,B1_Berechnungen!$E$44:$E$68)*Kapitalkosten_Wärmeverteilung/SUM(E1_Projektdaten!$D$155:$D$156)</f>
        <v>0</v>
      </c>
      <c r="O65" s="19">
        <f>_xlfn.XLOOKUP(O42,B1_Berechnungen!$B$44:$B$68,B1_Berechnungen!$E$44:$E$68)*Kapitalkosten_Wärmeverteilung/SUM(E1_Projektdaten!$D$155:$D$156)</f>
        <v>0</v>
      </c>
      <c r="P65" s="19">
        <f>_xlfn.XLOOKUP(P42,B1_Berechnungen!$B$44:$B$68,B1_Berechnungen!$E$44:$E$68)*Kapitalkosten_Wärmeverteilung/SUM(E1_Projektdaten!$D$155:$D$156)</f>
        <v>0</v>
      </c>
      <c r="Q65" s="19">
        <f>_xlfn.XLOOKUP(Q42,B1_Berechnungen!$B$44:$B$68,B1_Berechnungen!$E$44:$E$68)*Kapitalkosten_Wärmeverteilung/SUM(E1_Projektdaten!$D$155:$D$156)</f>
        <v>0</v>
      </c>
      <c r="R65" s="19">
        <f>_xlfn.XLOOKUP(R42,B1_Berechnungen!$B$44:$B$68,B1_Berechnungen!$E$44:$E$68)*Kapitalkosten_Wärmeverteilung/SUM(E1_Projektdaten!$D$155:$D$156)</f>
        <v>0</v>
      </c>
      <c r="S65" s="19">
        <f>_xlfn.XLOOKUP(S42,B1_Berechnungen!$B$44:$B$68,B1_Berechnungen!$E$44:$E$68)*Kapitalkosten_Wärmeverteilung/SUM(E1_Projektdaten!$D$155:$D$156)</f>
        <v>229484.0392153518</v>
      </c>
      <c r="T65" s="19">
        <f>(VLOOKUP('A9_NPV-Daten'!T$62,B1_Berechnungen!$B$44:$BE$68,23)*SUM(E1_Projektdaten!$D$77,E1_Projektdaten!$D$79,E1_Projektdaten!$D$80)/Gesamtinvestition)</f>
        <v>0</v>
      </c>
      <c r="U65" s="19">
        <f>(VLOOKUP('A9_NPV-Daten'!U$62,B1_Berechnungen!$B$44:$BE$68,23)*SUM(E1_Projektdaten!$D$77,E1_Projektdaten!$D$79,E1_Projektdaten!$D$80)/Gesamtinvestition)</f>
        <v>0</v>
      </c>
      <c r="V65" s="19">
        <f>(VLOOKUP('A9_NPV-Daten'!V$62,B1_Berechnungen!$B$44:$BE$68,23)*SUM(E1_Projektdaten!$D$77,E1_Projektdaten!$D$79,E1_Projektdaten!$D$80)/Gesamtinvestition)</f>
        <v>0</v>
      </c>
    </row>
    <row r="66" spans="1:22" x14ac:dyDescent="0.2">
      <c r="A66" s="3">
        <v>924</v>
      </c>
      <c r="B66" s="30" t="s">
        <v>121</v>
      </c>
      <c r="C66" s="27" t="s">
        <v>119</v>
      </c>
      <c r="D66" s="18">
        <f>_xlfn.XLOOKUP(D42,B1_Berechnungen!$B$44:$B$68,B1_Berechnungen!$E$44:$E$68)-D65</f>
        <v>7820210.7751049744</v>
      </c>
      <c r="E66" s="19">
        <f>_xlfn.XLOOKUP(E42,B1_Berechnungen!$B$44:$B$68,B1_Berechnungen!$E$44:$E$68)-E65</f>
        <v>1955052.6937762436</v>
      </c>
      <c r="F66" s="19">
        <f>_xlfn.XLOOKUP(F42,B1_Berechnungen!$B$44:$B$68,B1_Berechnungen!$E$44:$E$68)-F65</f>
        <v>0</v>
      </c>
      <c r="G66" s="19">
        <f>_xlfn.XLOOKUP(G42,B1_Berechnungen!$B$44:$B$68,B1_Berechnungen!$E$44:$E$68)-G65</f>
        <v>0</v>
      </c>
      <c r="H66" s="19">
        <f>_xlfn.XLOOKUP(H42,B1_Berechnungen!$B$44:$B$68,B1_Berechnungen!$E$44:$E$68)-H65</f>
        <v>0</v>
      </c>
      <c r="I66" s="19">
        <f>_xlfn.XLOOKUP(I42,B1_Berechnungen!$B$44:$B$68,B1_Berechnungen!$E$44:$E$68)-I65</f>
        <v>0</v>
      </c>
      <c r="J66" s="19">
        <f>_xlfn.XLOOKUP(J42,B1_Berechnungen!$B$44:$B$68,B1_Berechnungen!$E$44:$E$68)-J65</f>
        <v>0</v>
      </c>
      <c r="K66" s="19">
        <f>_xlfn.XLOOKUP(K42,B1_Berechnungen!$B$44:$B$68,B1_Berechnungen!$E$44:$E$68)-K65</f>
        <v>0</v>
      </c>
      <c r="L66" s="19">
        <f>_xlfn.XLOOKUP(L42,B1_Berechnungen!$B$44:$B$68,B1_Berechnungen!$E$44:$E$68)-L65</f>
        <v>0</v>
      </c>
      <c r="M66" s="19">
        <f>_xlfn.XLOOKUP(M42,B1_Berechnungen!$B$44:$B$68,B1_Berechnungen!$E$44:$E$68)-M65</f>
        <v>0</v>
      </c>
      <c r="N66" s="19">
        <f>_xlfn.XLOOKUP(N42,B1_Berechnungen!$B$44:$B$68,B1_Berechnungen!$E$44:$E$68)-N65</f>
        <v>0</v>
      </c>
      <c r="O66" s="19">
        <f>_xlfn.XLOOKUP(O42,B1_Berechnungen!$B$44:$B$68,B1_Berechnungen!$E$44:$E$68)-O65</f>
        <v>0</v>
      </c>
      <c r="P66" s="19">
        <f>_xlfn.XLOOKUP(P42,B1_Berechnungen!$B$44:$B$68,B1_Berechnungen!$E$44:$E$68)-P65</f>
        <v>0</v>
      </c>
      <c r="Q66" s="19">
        <f>_xlfn.XLOOKUP(Q42,B1_Berechnungen!$B$44:$B$68,B1_Berechnungen!$E$44:$E$68)-Q65</f>
        <v>0</v>
      </c>
      <c r="R66" s="19">
        <f>_xlfn.XLOOKUP(R42,B1_Berechnungen!$B$44:$B$68,B1_Berechnungen!$E$44:$E$68)-R65</f>
        <v>0</v>
      </c>
      <c r="S66" s="19">
        <f>_xlfn.XLOOKUP(S42,B1_Berechnungen!$B$44:$B$68,B1_Berechnungen!$E$44:$E$68)-S65</f>
        <v>234903.54293264757</v>
      </c>
      <c r="T66" s="19">
        <f>(VLOOKUP('A9_NPV-Daten'!T$62,B1_Berechnungen!$B$44:$BE$68,23)-T65)</f>
        <v>0</v>
      </c>
      <c r="U66" s="19">
        <f>(VLOOKUP('A9_NPV-Daten'!U$62,B1_Berechnungen!$B$44:$BE$68,23)-U65)</f>
        <v>0</v>
      </c>
      <c r="V66" s="19">
        <f>(VLOOKUP('A9_NPV-Daten'!V$62,B1_Berechnungen!$B$44:$BE$68,23)-V65)</f>
        <v>0</v>
      </c>
    </row>
    <row r="67" spans="1:22" x14ac:dyDescent="0.2">
      <c r="B67" s="28" t="s">
        <v>122</v>
      </c>
      <c r="C67" s="27" t="s">
        <v>123</v>
      </c>
      <c r="D67" s="31" t="str">
        <f>IF(D62=E1_Projektdaten!$D$23+15,-VLOOKUP(D62,B1_Berechnungen!$B$44:$AS$68,31),"")</f>
        <v/>
      </c>
      <c r="E67" s="31" t="str">
        <f>IF(E62=E1_Projektdaten!$D$23+15,-VLOOKUP(E62,B1_Berechnungen!$B$44:$AS$68,31),"")</f>
        <v/>
      </c>
      <c r="F67" s="31" t="str">
        <f>IF(F62=E1_Projektdaten!$D$23+15,-VLOOKUP(F62,B1_Berechnungen!$B$44:$AS$68,31),"")</f>
        <v/>
      </c>
      <c r="G67" s="31" t="str">
        <f>IF(G62=E1_Projektdaten!$D$23+15,-VLOOKUP(G62,B1_Berechnungen!$B$44:$AS$68,31),"")</f>
        <v/>
      </c>
      <c r="H67" s="31" t="str">
        <f>IF(H62=E1_Projektdaten!$D$23+15,-VLOOKUP(H62,B1_Berechnungen!$B$44:$AS$68,31),"")</f>
        <v/>
      </c>
      <c r="I67" s="31" t="str">
        <f>IF(I62=E1_Projektdaten!$D$23+15,-VLOOKUP(I62,B1_Berechnungen!$B$44:$AS$68,31),"")</f>
        <v/>
      </c>
      <c r="J67" s="31" t="str">
        <f>IF(J62=E1_Projektdaten!$D$23+15,-VLOOKUP(J62,B1_Berechnungen!$B$44:$AS$68,31),"")</f>
        <v/>
      </c>
      <c r="K67" s="31" t="str">
        <f>IF(K62=E1_Projektdaten!$D$23+15,-VLOOKUP(K62,B1_Berechnungen!$B$44:$AS$68,31),"")</f>
        <v/>
      </c>
      <c r="L67" s="31" t="str">
        <f>IF(L62=E1_Projektdaten!$D$23+15,-VLOOKUP(L62,B1_Berechnungen!$B$44:$AS$68,31),"")</f>
        <v/>
      </c>
      <c r="M67" s="31" t="str">
        <f>IF(M62=E1_Projektdaten!$D$23+15,-VLOOKUP(M62,B1_Berechnungen!$B$44:$AS$68,31),"")</f>
        <v/>
      </c>
      <c r="N67" s="31" t="str">
        <f>IF(N62=E1_Projektdaten!$D$23+15,-VLOOKUP(N62,B1_Berechnungen!$B$44:$AS$68,31),"")</f>
        <v/>
      </c>
      <c r="O67" s="31" t="str">
        <f>IF(O62=E1_Projektdaten!$D$23+15,-VLOOKUP(O62,B1_Berechnungen!$B$44:$AS$68,31),"")</f>
        <v/>
      </c>
      <c r="P67" s="31" t="str">
        <f>IF(P62=E1_Projektdaten!$D$23+15,-VLOOKUP(P62,B1_Berechnungen!$B$44:$AS$68,31),"")</f>
        <v/>
      </c>
      <c r="Q67" s="31" t="str">
        <f>IF(Q62=E1_Projektdaten!$D$23+15,-VLOOKUP(Q62,B1_Berechnungen!$B$44:$AS$68,31),"")</f>
        <v/>
      </c>
      <c r="R67" s="31" t="str">
        <f>IF(R62=E1_Projektdaten!$D$23+15,-VLOOKUP(R62,B1_Berechnungen!$B$44:$AS$68,31),"")</f>
        <v/>
      </c>
      <c r="S67" s="31" t="str">
        <f>IF(S62=E1_Projektdaten!$D$23+15,-VLOOKUP(S62,B1_Berechnungen!$B$44:$AS$68,31),"")</f>
        <v/>
      </c>
      <c r="T67" s="31" t="str">
        <f>IF(T62=E1_Projektdaten!$D$23+15,-VLOOKUP(T62,B1_Berechnungen!$B$44:$AS$68,31),"")</f>
        <v/>
      </c>
      <c r="U67" s="31">
        <f>IF(U62=E1_Projektdaten!$D$23+15,-VLOOKUP(U62,B1_Berechnungen!$B$44:$AS$68,31),"")</f>
        <v>0</v>
      </c>
      <c r="V67" s="31" t="str">
        <f>IF(V62=E1_Projektdaten!$D$23+15,-VLOOKUP(V62,B1_Berechnungen!$B$44:$AS$68,31),"")</f>
        <v/>
      </c>
    </row>
    <row r="68" spans="1:22" x14ac:dyDescent="0.2">
      <c r="B68" s="28" t="s">
        <v>124</v>
      </c>
      <c r="C68" s="27" t="s">
        <v>119</v>
      </c>
      <c r="D68" s="29"/>
      <c r="E68" s="29"/>
      <c r="F68" s="29"/>
      <c r="G68" s="29"/>
      <c r="H68" s="29"/>
      <c r="I68" s="29"/>
      <c r="J68" s="29"/>
      <c r="K68" s="29"/>
      <c r="L68" s="29"/>
      <c r="M68" s="29"/>
      <c r="N68" s="29"/>
      <c r="O68" s="29"/>
      <c r="P68" s="29"/>
      <c r="Q68" s="29"/>
      <c r="R68" s="29"/>
      <c r="S68" s="29"/>
      <c r="T68" s="29"/>
      <c r="U68" s="29"/>
      <c r="V68" s="29"/>
    </row>
    <row r="69" spans="1:22" x14ac:dyDescent="0.2">
      <c r="A69" s="3">
        <v>925</v>
      </c>
      <c r="B69" s="30" t="s">
        <v>125</v>
      </c>
      <c r="C69" s="27" t="s">
        <v>119</v>
      </c>
      <c r="D69" s="19">
        <f>SUM(_xlfn.XLOOKUP(D42,B1_Berechnungen!$B$44:$B$68,B1_Berechnungen!$AB$44:$AB$68):_xlfn.XLOOKUP(D42,B1_Berechnungen!$B$44:$B$68,B1_Berechnungen!$AF$44:$AF$68))</f>
        <v>860576.76199999999</v>
      </c>
      <c r="E69" s="19">
        <f>SUM(_xlfn.XLOOKUP(E42,B1_Berechnungen!$B$44:$B$68,B1_Berechnungen!$AB$44:$AB$68):_xlfn.XLOOKUP(E42,B1_Berechnungen!$B$44:$B$68,B1_Berechnungen!$AF$44:$AF$68))</f>
        <v>939428.45179999992</v>
      </c>
      <c r="F69" s="19">
        <f>SUM(_xlfn.XLOOKUP(F42,B1_Berechnungen!$B$44:$B$68,B1_Berechnungen!$AB$44:$AB$68):_xlfn.XLOOKUP(F42,B1_Berechnungen!$B$44:$B$68,B1_Berechnungen!$AF$44:$AF$68))</f>
        <v>948822.73631800001</v>
      </c>
      <c r="G69" s="19">
        <f>SUM(_xlfn.XLOOKUP(G42,B1_Berechnungen!$B$44:$B$68,B1_Berechnungen!$AB$44:$AB$68):_xlfn.XLOOKUP(G42,B1_Berechnungen!$B$44:$B$68,B1_Berechnungen!$AF$44:$AF$68))</f>
        <v>958310.9636811798</v>
      </c>
      <c r="H69" s="19">
        <f>SUM(_xlfn.XLOOKUP(H42,B1_Berechnungen!$B$44:$B$68,B1_Berechnungen!$AB$44:$AB$68):_xlfn.XLOOKUP(H42,B1_Berechnungen!$B$44:$B$68,B1_Berechnungen!$AF$44:$AF$68))</f>
        <v>967894.07331799204</v>
      </c>
      <c r="I69" s="19">
        <f>SUM(_xlfn.XLOOKUP(I42,B1_Berechnungen!$B$44:$B$68,B1_Berechnungen!$AB$44:$AB$68):_xlfn.XLOOKUP(I42,B1_Berechnungen!$B$44:$B$68,B1_Berechnungen!$AF$44:$AF$68))</f>
        <v>977573.0140511716</v>
      </c>
      <c r="J69" s="19">
        <f>SUM(_xlfn.XLOOKUP(J42,B1_Berechnungen!$B$44:$B$68,B1_Berechnungen!$AB$44:$AB$68):_xlfn.XLOOKUP(J42,B1_Berechnungen!$B$44:$B$68,B1_Berechnungen!$AF$44:$AF$68))</f>
        <v>987348.7441916836</v>
      </c>
      <c r="K69" s="19">
        <f>SUM(_xlfn.XLOOKUP(K42,B1_Berechnungen!$B$44:$B$68,B1_Berechnungen!$AB$44:$AB$68):_xlfn.XLOOKUP(K42,B1_Berechnungen!$B$44:$B$68,B1_Berechnungen!$AF$44:$AF$68))</f>
        <v>997222.23163360055</v>
      </c>
      <c r="L69" s="19">
        <f>SUM(_xlfn.XLOOKUP(L42,B1_Berechnungen!$B$44:$B$68,B1_Berechnungen!$AB$44:$AB$68):_xlfn.XLOOKUP(L42,B1_Berechnungen!$B$44:$B$68,B1_Berechnungen!$AF$44:$AF$68))</f>
        <v>1007194.4539499364</v>
      </c>
      <c r="M69" s="19">
        <f>SUM(_xlfn.XLOOKUP(M42,B1_Berechnungen!$B$44:$B$68,B1_Berechnungen!$AB$44:$AB$68):_xlfn.XLOOKUP(M42,B1_Berechnungen!$B$44:$B$68,B1_Berechnungen!$AF$44:$AF$68))</f>
        <v>1017266.3984894357</v>
      </c>
      <c r="N69" s="19">
        <f>SUM(_xlfn.XLOOKUP(N42,B1_Berechnungen!$B$44:$B$68,B1_Berechnungen!$AB$44:$AB$68):_xlfn.XLOOKUP(N42,B1_Berechnungen!$B$44:$B$68,B1_Berechnungen!$AF$44:$AF$68))</f>
        <v>1027439.06247433</v>
      </c>
      <c r="O69" s="19">
        <f>SUM(_xlfn.XLOOKUP(O42,B1_Berechnungen!$B$44:$B$68,B1_Berechnungen!$AB$44:$AB$68):_xlfn.XLOOKUP(O42,B1_Berechnungen!$B$44:$B$68,B1_Berechnungen!$AF$44:$AF$68))</f>
        <v>1037713.4530990734</v>
      </c>
      <c r="P69" s="19">
        <f>SUM(_xlfn.XLOOKUP(P42,B1_Berechnungen!$B$44:$B$68,B1_Berechnungen!$AB$44:$AB$68):_xlfn.XLOOKUP(P42,B1_Berechnungen!$B$44:$B$68,B1_Berechnungen!$AF$44:$AF$68))</f>
        <v>1048090.5876300642</v>
      </c>
      <c r="Q69" s="19">
        <f>SUM(_xlfn.XLOOKUP(Q42,B1_Berechnungen!$B$44:$B$68,B1_Berechnungen!$AB$44:$AB$68):_xlfn.XLOOKUP(Q42,B1_Berechnungen!$B$44:$B$68,B1_Berechnungen!$AF$44:$AF$68))</f>
        <v>1058571.4935063645</v>
      </c>
      <c r="R69" s="19">
        <f>SUM(_xlfn.XLOOKUP(R42,B1_Berechnungen!$B$44:$B$68,B1_Berechnungen!$AB$44:$AB$68):_xlfn.XLOOKUP(R42,B1_Berechnungen!$B$44:$B$68,B1_Berechnungen!$AF$44:$AF$68))</f>
        <v>1069157.2084414286</v>
      </c>
      <c r="S69" s="19">
        <f>SUM(_xlfn.XLOOKUP(S42,B1_Berechnungen!$B$44:$B$68,B1_Berechnungen!$AB$44:$AB$68):_xlfn.XLOOKUP(S42,B1_Berechnungen!$B$44:$B$68,B1_Berechnungen!$AF$44:$AF$68))</f>
        <v>1079848.7805258429</v>
      </c>
      <c r="T69" s="19">
        <f>VLOOKUP('A9_NPV-Daten'!T$62,B1_Berechnungen!$B$44:$AS$68,7)+VLOOKUP('A9_NPV-Daten'!T$62,B1_Berechnungen!$B$44:$AS$68,8)+VLOOKUP('A9_NPV-Daten'!T$62,B1_Berechnungen!$B$44:$AS$68,9)</f>
        <v>0</v>
      </c>
      <c r="U69" s="19">
        <f>VLOOKUP('A9_NPV-Daten'!U$62,B1_Berechnungen!$B$44:$AS$68,7)+VLOOKUP('A9_NPV-Daten'!U$62,B1_Berechnungen!$B$44:$AS$68,8)+VLOOKUP('A9_NPV-Daten'!U$62,B1_Berechnungen!$B$44:$AS$68,9)</f>
        <v>464387.58214799938</v>
      </c>
      <c r="V69" s="19">
        <f>VLOOKUP('A9_NPV-Daten'!V$62,B1_Berechnungen!$B$44:$AS$68,7)+VLOOKUP('A9_NPV-Daten'!V$62,B1_Berechnungen!$B$44:$AS$68,8)+VLOOKUP('A9_NPV-Daten'!V$62,B1_Berechnungen!$B$44:$AS$68,9)</f>
        <v>0</v>
      </c>
    </row>
    <row r="70" spans="1:22" x14ac:dyDescent="0.2">
      <c r="A70" s="3">
        <v>926</v>
      </c>
      <c r="B70" s="32" t="s">
        <v>126</v>
      </c>
      <c r="C70" s="33" t="s">
        <v>119</v>
      </c>
      <c r="D70" s="19">
        <f>SUM(_xlfn.XLOOKUP(D42,B1_Berechnungen!$B$44:$B$68,B1_Berechnungen!$U$44:$U$68):_xlfn.XLOOKUP(D42,B1_Berechnungen!$B$44:$B$68,B1_Berechnungen!$AA$44:$AA$68))</f>
        <v>384055.11372857419</v>
      </c>
      <c r="E70" s="19">
        <f>SUM(_xlfn.XLOOKUP(E42,B1_Berechnungen!$B$44:$B$68,B1_Berechnungen!$U$44:$U$68):_xlfn.XLOOKUP(E42,B1_Berechnungen!$B$44:$B$68,B1_Berechnungen!$AA$44:$AA$68))</f>
        <v>940808.67316234356</v>
      </c>
      <c r="F70" s="19">
        <f>SUM(_xlfn.XLOOKUP(F42,B1_Berechnungen!$B$44:$B$68,B1_Berechnungen!$U$44:$U$68):_xlfn.XLOOKUP(F42,B1_Berechnungen!$B$44:$B$68,B1_Berechnungen!$AA$44:$AA$68))</f>
        <v>1296602.9774887834</v>
      </c>
      <c r="G70" s="19">
        <f>SUM(_xlfn.XLOOKUP(G42,B1_Berechnungen!$B$44:$B$68,B1_Berechnungen!$U$44:$U$68):_xlfn.XLOOKUP(G42,B1_Berechnungen!$B$44:$B$68,B1_Berechnungen!$AA$44:$AA$68))</f>
        <v>1491991.378499029</v>
      </c>
      <c r="H70" s="19">
        <f>SUM(_xlfn.XLOOKUP(H42,B1_Berechnungen!$B$44:$B$68,B1_Berechnungen!$U$44:$U$68):_xlfn.XLOOKUP(H42,B1_Berechnungen!$B$44:$B$68,B1_Berechnungen!$AA$44:$AA$68))</f>
        <v>1589343.3395569059</v>
      </c>
      <c r="I70" s="19">
        <f>SUM(_xlfn.XLOOKUP(I42,B1_Berechnungen!$B$44:$B$68,B1_Berechnungen!$U$44:$U$68):_xlfn.XLOOKUP(I42,B1_Berechnungen!$B$44:$B$68,B1_Berechnungen!$AA$44:$AA$68))</f>
        <v>1674272.3280151624</v>
      </c>
      <c r="J70" s="19">
        <f>SUM(_xlfn.XLOOKUP(J42,B1_Berechnungen!$B$44:$B$68,B1_Berechnungen!$U$44:$U$68):_xlfn.XLOOKUP(J42,B1_Berechnungen!$B$44:$B$68,B1_Berechnungen!$AA$44:$AA$68))</f>
        <v>1680057.9793129687</v>
      </c>
      <c r="K70" s="19">
        <f>SUM(_xlfn.XLOOKUP(K42,B1_Berechnungen!$B$44:$B$68,B1_Berechnungen!$U$44:$U$68):_xlfn.XLOOKUP(K42,B1_Berechnungen!$B$44:$B$68,B1_Berechnungen!$AA$44:$AA$68))</f>
        <v>1685842.4567377919</v>
      </c>
      <c r="L70" s="19">
        <f>SUM(_xlfn.XLOOKUP(L42,B1_Berechnungen!$B$44:$B$68,B1_Berechnungen!$U$44:$U$68):_xlfn.XLOOKUP(L42,B1_Berechnungen!$B$44:$B$68,B1_Berechnungen!$AA$44:$AA$68))</f>
        <v>1685673.872492118</v>
      </c>
      <c r="M70" s="19">
        <f>SUM(_xlfn.XLOOKUP(M42,B1_Berechnungen!$B$44:$B$68,B1_Berechnungen!$U$44:$U$68):_xlfn.XLOOKUP(M42,B1_Berechnungen!$B$44:$B$68,B1_Berechnungen!$AA$44:$AA$68))</f>
        <v>1710798.299443817</v>
      </c>
      <c r="N70" s="19">
        <f>SUM(_xlfn.XLOOKUP(N42,B1_Berechnungen!$B$44:$B$68,B1_Berechnungen!$U$44:$U$68):_xlfn.XLOOKUP(N42,B1_Berechnungen!$B$44:$B$68,B1_Berechnungen!$AA$44:$AA$68))</f>
        <v>1735917.6846533865</v>
      </c>
      <c r="O70" s="19">
        <f>SUM(_xlfn.XLOOKUP(O42,B1_Berechnungen!$B$44:$B$68,B1_Berechnungen!$U$44:$U$68):_xlfn.XLOOKUP(O42,B1_Berechnungen!$B$44:$B$68,B1_Berechnungen!$AA$44:$AA$68))</f>
        <v>1735744.0928849208</v>
      </c>
      <c r="P70" s="19">
        <f>SUM(_xlfn.XLOOKUP(P42,B1_Berechnungen!$B$44:$B$68,B1_Berechnungen!$U$44:$U$68):_xlfn.XLOOKUP(P42,B1_Berechnungen!$B$44:$B$68,B1_Berechnungen!$AA$44:$AA$68))</f>
        <v>1735570.5184756326</v>
      </c>
      <c r="Q70" s="19">
        <f>SUM(_xlfn.XLOOKUP(Q42,B1_Berechnungen!$B$44:$B$68,B1_Berechnungen!$U$44:$U$68):_xlfn.XLOOKUP(Q42,B1_Berechnungen!$B$44:$B$68,B1_Berechnungen!$AA$44:$AA$68))</f>
        <v>1735396.961423785</v>
      </c>
      <c r="R70" s="19">
        <f>SUM(_xlfn.XLOOKUP(R42,B1_Berechnungen!$B$44:$B$68,B1_Berechnungen!$U$44:$U$68):_xlfn.XLOOKUP(R42,B1_Berechnungen!$B$44:$B$68,B1_Berechnungen!$AA$44:$AA$68))</f>
        <v>1735223.4217276429</v>
      </c>
      <c r="S70" s="19">
        <f>SUM(_xlfn.XLOOKUP(S42,B1_Berechnungen!$B$44:$B$68,B1_Berechnungen!$U$44:$U$68):_xlfn.XLOOKUP(S42,B1_Berechnungen!$B$44:$B$68,B1_Berechnungen!$AA$44:$AA$68))</f>
        <v>1735049.89938547</v>
      </c>
      <c r="T70" s="19">
        <f>VLOOKUP('A9_NPV-Daten'!T$62,B1_Berechnungen!$B$44:$AS$68,4)+VLOOKUP('A9_NPV-Daten'!T$62,B1_Berechnungen!$B$44:$AS$68,5)+VLOOKUP('A9_NPV-Daten'!T$62,B1_Berechnungen!$B$44:$AS$68,6)</f>
        <v>0</v>
      </c>
      <c r="U70" s="19">
        <f>VLOOKUP('A9_NPV-Daten'!U$62,B1_Berechnungen!$B$44:$AS$68,4)+VLOOKUP('A9_NPV-Daten'!U$62,B1_Berechnungen!$B$44:$AS$68,5)+VLOOKUP('A9_NPV-Daten'!U$62,B1_Berechnungen!$B$44:$AS$68,6)</f>
        <v>464387.58214799938</v>
      </c>
      <c r="V70" s="19">
        <f>VLOOKUP('A9_NPV-Daten'!V$62,B1_Berechnungen!$B$44:$AS$68,4)+VLOOKUP('A9_NPV-Daten'!V$62,B1_Berechnungen!$B$44:$AS$68,5)+VLOOKUP('A9_NPV-Daten'!V$62,B1_Berechnungen!$B$44:$AS$68,6)</f>
        <v>0</v>
      </c>
    </row>
    <row r="71" spans="1:22" x14ac:dyDescent="0.2">
      <c r="B71" s="34" t="s">
        <v>127</v>
      </c>
      <c r="C71" s="27" t="s">
        <v>119</v>
      </c>
      <c r="D71" s="29"/>
      <c r="E71" s="29"/>
      <c r="F71" s="29"/>
      <c r="G71" s="29"/>
      <c r="H71" s="29"/>
      <c r="I71" s="29"/>
      <c r="J71" s="29"/>
      <c r="K71" s="29"/>
      <c r="L71" s="29"/>
      <c r="M71" s="29"/>
      <c r="N71" s="29"/>
      <c r="O71" s="29"/>
      <c r="P71" s="29"/>
      <c r="Q71" s="29"/>
      <c r="R71" s="29"/>
      <c r="S71" s="29"/>
      <c r="T71" s="29"/>
      <c r="U71" s="29"/>
      <c r="V71" s="29"/>
    </row>
    <row r="72" spans="1:22" x14ac:dyDescent="0.2">
      <c r="B72" s="27"/>
      <c r="C72" s="27"/>
      <c r="D72" s="35"/>
      <c r="E72" s="35"/>
      <c r="F72" s="35"/>
      <c r="G72" s="35"/>
      <c r="H72" s="35"/>
      <c r="I72" s="35"/>
      <c r="J72" s="35"/>
      <c r="K72" s="35"/>
      <c r="L72" s="35"/>
      <c r="M72" s="35"/>
      <c r="N72" s="35"/>
      <c r="O72" s="35"/>
      <c r="P72" s="35"/>
      <c r="Q72" s="35"/>
      <c r="R72" s="35"/>
      <c r="S72" s="35"/>
      <c r="T72" s="35"/>
      <c r="U72" s="35"/>
      <c r="V72" s="35"/>
    </row>
    <row r="73" spans="1:22" x14ac:dyDescent="0.2">
      <c r="B73" s="16" t="s">
        <v>128</v>
      </c>
      <c r="C73" s="16"/>
      <c r="D73" s="16"/>
      <c r="E73" s="16"/>
      <c r="F73" s="16"/>
      <c r="G73" s="16"/>
      <c r="H73" s="16"/>
      <c r="I73" s="16"/>
      <c r="J73" s="16"/>
      <c r="K73" s="16"/>
      <c r="L73" s="16"/>
      <c r="M73" s="16"/>
      <c r="N73" s="16"/>
      <c r="O73" s="16"/>
      <c r="P73" s="16"/>
      <c r="Q73" s="16"/>
      <c r="R73" s="16"/>
      <c r="S73" s="16"/>
      <c r="T73" s="16"/>
      <c r="U73" s="16"/>
      <c r="V73" s="16"/>
    </row>
    <row r="74" spans="1:22" x14ac:dyDescent="0.2">
      <c r="A74" s="3">
        <v>927</v>
      </c>
      <c r="B74" s="27" t="s">
        <v>129</v>
      </c>
      <c r="C74" s="27" t="s">
        <v>119</v>
      </c>
      <c r="D74" s="19">
        <f>_xlfn.XLOOKUP(D$42,B1_Berechnungen!$B$44:$B$68,B1_Berechnungen!$G$44:$G$68)</f>
        <v>-3553200</v>
      </c>
      <c r="E74" s="19">
        <f>_xlfn.XLOOKUP(E$42,B1_Berechnungen!$B$44:$B$68,B1_Berechnungen!$G$44:$G$68)</f>
        <v>-1480000</v>
      </c>
      <c r="F74" s="19">
        <f>_xlfn.XLOOKUP(F$42,B1_Berechnungen!$B$44:$B$68,B1_Berechnungen!$G$44:$G$68)</f>
        <v>-1901000</v>
      </c>
      <c r="G74" s="19">
        <f>_xlfn.XLOOKUP(G$42,B1_Berechnungen!$B$44:$B$68,B1_Berechnungen!$G$44:$G$68)</f>
        <v>-143000</v>
      </c>
      <c r="H74" s="19">
        <f>_xlfn.XLOOKUP(H$42,B1_Berechnungen!$B$44:$B$68,B1_Berechnungen!$G$44:$G$68)</f>
        <v>-957000</v>
      </c>
      <c r="I74" s="19">
        <f>_xlfn.XLOOKUP(I$42,B1_Berechnungen!$B$44:$B$68,B1_Berechnungen!$G$44:$G$68)</f>
        <v>0</v>
      </c>
      <c r="J74" s="19">
        <f>_xlfn.XLOOKUP(J$42,B1_Berechnungen!$B$44:$B$68,B1_Berechnungen!$G$44:$G$68)</f>
        <v>-62000</v>
      </c>
      <c r="K74" s="19">
        <f>_xlfn.XLOOKUP(K$42,B1_Berechnungen!$B$44:$B$68,B1_Berechnungen!$G$44:$G$68)</f>
        <v>0</v>
      </c>
      <c r="L74" s="19">
        <f>_xlfn.XLOOKUP(L$42,B1_Berechnungen!$B$44:$B$68,B1_Berechnungen!$G$44:$G$68)</f>
        <v>0</v>
      </c>
      <c r="M74" s="19">
        <f>_xlfn.XLOOKUP(M$42,B1_Berechnungen!$B$44:$B$68,B1_Berechnungen!$G$44:$G$68)</f>
        <v>-200000</v>
      </c>
      <c r="N74" s="19">
        <f>_xlfn.XLOOKUP(N$42,B1_Berechnungen!$B$44:$B$68,B1_Berechnungen!$G$44:$G$68)</f>
        <v>0</v>
      </c>
      <c r="O74" s="19">
        <f>_xlfn.XLOOKUP(O$42,B1_Berechnungen!$B$44:$B$68,B1_Berechnungen!$G$44:$G$68)</f>
        <v>0</v>
      </c>
      <c r="P74" s="19">
        <f>_xlfn.XLOOKUP(P$42,B1_Berechnungen!$B$44:$B$68,B1_Berechnungen!$G$44:$G$68)</f>
        <v>0</v>
      </c>
      <c r="Q74" s="19">
        <f>_xlfn.XLOOKUP(Q$42,B1_Berechnungen!$B$44:$B$68,B1_Berechnungen!$G$44:$G$68)</f>
        <v>0</v>
      </c>
      <c r="R74" s="19">
        <f>_xlfn.XLOOKUP(R$42,B1_Berechnungen!$B$44:$B$68,B1_Berechnungen!$G$44:$G$68)</f>
        <v>0</v>
      </c>
      <c r="S74" s="19">
        <f>_xlfn.XLOOKUP(S$42,B1_Berechnungen!$B$44:$B$68,B1_Berechnungen!$G$44:$G$68)</f>
        <v>0</v>
      </c>
      <c r="T74" s="19">
        <f>VLOOKUP('A9_NPV-Daten'!T$62,B1_Berechnungen!$B$44:$S$68,16)</f>
        <v>0</v>
      </c>
      <c r="U74" s="19">
        <f>VLOOKUP('A9_NPV-Daten'!U$62,B1_Berechnungen!$B$44:$S$68,16)</f>
        <v>0</v>
      </c>
      <c r="V74" s="19">
        <f>VLOOKUP('A9_NPV-Daten'!V$62,B1_Berechnungen!$B$44:$S$68,16)</f>
        <v>0</v>
      </c>
    </row>
    <row r="75" spans="1:22" x14ac:dyDescent="0.2">
      <c r="A75" s="3">
        <v>928</v>
      </c>
      <c r="B75" s="27" t="s">
        <v>130</v>
      </c>
      <c r="C75" s="27" t="s">
        <v>119</v>
      </c>
      <c r="D75" s="19">
        <f>_xlfn.XLOOKUP(D$42,B1_Berechnungen!$B$44:$B$68,B1_Berechnungen!$N$44:$N$68)</f>
        <v>881493.08111850009</v>
      </c>
      <c r="E75" s="19">
        <f>_xlfn.XLOOKUP(E$42,B1_Berechnungen!$B$44:$B$68,B1_Berechnungen!$N$44:$N$68)</f>
        <v>2170633.8991265525</v>
      </c>
      <c r="F75" s="19">
        <f>_xlfn.XLOOKUP(F$42,B1_Berechnungen!$B$44:$B$68,B1_Berechnungen!$N$44:$N$68)</f>
        <v>3008668.7875172254</v>
      </c>
      <c r="G75" s="19">
        <f>_xlfn.XLOOKUP(G$42,B1_Berechnungen!$B$44:$B$68,B1_Berechnungen!$N$44:$N$68)</f>
        <v>3484958.4017633372</v>
      </c>
      <c r="H75" s="19">
        <f>_xlfn.XLOOKUP(H$42,B1_Berechnungen!$B$44:$B$68,B1_Berechnungen!$N$44:$N$68)</f>
        <v>3735274.4874545652</v>
      </c>
      <c r="I75" s="19">
        <f>_xlfn.XLOOKUP(I$42,B1_Berechnungen!$B$44:$B$68,B1_Berechnungen!$N$44:$N$68)</f>
        <v>3956896.5593598373</v>
      </c>
      <c r="J75" s="19">
        <f>_xlfn.XLOOKUP(J$42,B1_Berechnungen!$B$44:$B$68,B1_Berechnungen!$N$44:$N$68)</f>
        <v>3992902.6335347672</v>
      </c>
      <c r="K75" s="19">
        <f>_xlfn.XLOOKUP(K$42,B1_Berechnungen!$B$44:$B$68,B1_Berechnungen!$N$44:$N$68)</f>
        <v>4029284.0374874379</v>
      </c>
      <c r="L75" s="19">
        <f>_xlfn.XLOOKUP(L$42,B1_Berechnungen!$B$44:$B$68,B1_Berechnungen!$N$44:$N$68)</f>
        <v>4052429.3883220991</v>
      </c>
      <c r="M75" s="19">
        <f>_xlfn.XLOOKUP(M$42,B1_Berechnungen!$B$44:$B$68,B1_Berechnungen!$N$44:$N$68)</f>
        <v>4137260.1756148105</v>
      </c>
      <c r="N75" s="19">
        <f>_xlfn.XLOOKUP(N$42,B1_Berechnungen!$B$44:$B$68,B1_Berechnungen!$N$44:$N$68)</f>
        <v>4223040.9743667152</v>
      </c>
      <c r="O75" s="19">
        <f>_xlfn.XLOOKUP(O$42,B1_Berechnungen!$B$44:$B$68,B1_Berechnungen!$N$44:$N$68)</f>
        <v>4247614.5560827721</v>
      </c>
      <c r="P75" s="19">
        <f>_xlfn.XLOOKUP(P$42,B1_Berechnungen!$B$44:$B$68,B1_Berechnungen!$N$44:$N$68)</f>
        <v>4272435.6392987911</v>
      </c>
      <c r="Q75" s="19">
        <f>_xlfn.XLOOKUP(Q$42,B1_Berechnungen!$B$44:$B$68,B1_Berechnungen!$N$44:$N$68)</f>
        <v>4297506.698853204</v>
      </c>
      <c r="R75" s="19">
        <f>_xlfn.XLOOKUP(R$42,B1_Berechnungen!$B$44:$B$68,B1_Berechnungen!$N$44:$N$68)</f>
        <v>4322830.2343328465</v>
      </c>
      <c r="S75" s="19">
        <f>_xlfn.XLOOKUP(S$42,B1_Berechnungen!$B$44:$B$68,B1_Berechnungen!$N$44:$N$68)</f>
        <v>4348408.7703204351</v>
      </c>
      <c r="T75" s="19">
        <f>VLOOKUP('A9_NPV-Daten'!T$62,B1_Berechnungen!$B$44:$S$68,15)</f>
        <v>650001.4828680089</v>
      </c>
      <c r="U75" s="19">
        <f>VLOOKUP('A9_NPV-Daten'!U$62,B1_Berechnungen!$B$44:$S$68,15)</f>
        <v>649936.48271972209</v>
      </c>
      <c r="V75" s="19">
        <f>VLOOKUP('A9_NPV-Daten'!V$62,B1_Berechnungen!$B$44:$S$68,15)</f>
        <v>649871.4890714502</v>
      </c>
    </row>
    <row r="76" spans="1:22" x14ac:dyDescent="0.2">
      <c r="A76" s="3">
        <v>929</v>
      </c>
      <c r="B76" s="27" t="s">
        <v>131</v>
      </c>
      <c r="C76" s="27" t="s">
        <v>119</v>
      </c>
      <c r="D76" s="19">
        <f>_xlfn.XLOOKUP(D$42,B1_Berechnungen!$B$44:$B$68,B1_Berechnungen!$F$44:$F$68)</f>
        <v>0</v>
      </c>
      <c r="E76" s="19">
        <f>_xlfn.XLOOKUP(E$42,B1_Berechnungen!$B$44:$B$68,B1_Berechnungen!$F$44:$F$68)</f>
        <v>0</v>
      </c>
      <c r="F76" s="19">
        <f>_xlfn.XLOOKUP(F$42,B1_Berechnungen!$B$44:$B$68,B1_Berechnungen!$F$44:$F$68)</f>
        <v>-1000000</v>
      </c>
      <c r="G76" s="19">
        <f>_xlfn.XLOOKUP(G$42,B1_Berechnungen!$B$44:$B$68,B1_Berechnungen!$F$44:$F$68)</f>
        <v>-1200000</v>
      </c>
      <c r="H76" s="19">
        <f>_xlfn.XLOOKUP(H$42,B1_Berechnungen!$B$44:$B$68,B1_Berechnungen!$F$44:$F$68)</f>
        <v>0</v>
      </c>
      <c r="I76" s="19">
        <f>_xlfn.XLOOKUP(I$42,B1_Berechnungen!$B$44:$B$68,B1_Berechnungen!$F$44:$F$68)</f>
        <v>-800000</v>
      </c>
      <c r="J76" s="19">
        <f>_xlfn.XLOOKUP(J$42,B1_Berechnungen!$B$44:$B$68,B1_Berechnungen!$F$44:$F$68)</f>
        <v>0</v>
      </c>
      <c r="K76" s="19">
        <f>_xlfn.XLOOKUP(K$42,B1_Berechnungen!$B$44:$B$68,B1_Berechnungen!$F$44:$F$68)</f>
        <v>0</v>
      </c>
      <c r="L76" s="19">
        <f>_xlfn.XLOOKUP(L$42,B1_Berechnungen!$B$44:$B$68,B1_Berechnungen!$F$44:$F$68)</f>
        <v>0</v>
      </c>
      <c r="M76" s="19">
        <f>_xlfn.XLOOKUP(M$42,B1_Berechnungen!$B$44:$B$68,B1_Berechnungen!$F$44:$F$68)</f>
        <v>0</v>
      </c>
      <c r="N76" s="19">
        <f>_xlfn.XLOOKUP(N$42,B1_Berechnungen!$B$44:$B$68,B1_Berechnungen!$F$44:$F$68)</f>
        <v>0</v>
      </c>
      <c r="O76" s="19">
        <f>_xlfn.XLOOKUP(O$42,B1_Berechnungen!$B$44:$B$68,B1_Berechnungen!$F$44:$F$68)</f>
        <v>0</v>
      </c>
      <c r="P76" s="19">
        <f>_xlfn.XLOOKUP(P$42,B1_Berechnungen!$B$44:$B$68,B1_Berechnungen!$F$44:$F$68)</f>
        <v>0</v>
      </c>
      <c r="Q76" s="19">
        <f>_xlfn.XLOOKUP(Q$42,B1_Berechnungen!$B$44:$B$68,B1_Berechnungen!$F$44:$F$68)</f>
        <v>0</v>
      </c>
      <c r="R76" s="19">
        <f>_xlfn.XLOOKUP(R$42,B1_Berechnungen!$B$44:$B$68,B1_Berechnungen!$F$44:$F$68)</f>
        <v>0</v>
      </c>
      <c r="S76" s="19">
        <f>_xlfn.XLOOKUP(S$42,B1_Berechnungen!$B$44:$B$68,B1_Berechnungen!$F$44:$F$68)</f>
        <v>0</v>
      </c>
      <c r="T76" s="19">
        <f>((T62=E1_Projektdaten!$D$109)*E1_Projektdaten!$D$108+(T62=E1_Projektdaten!$D$111)*E1_Projektdaten!$D$110)*('A9_NPV-Daten'!T62&gt;0)</f>
        <v>0</v>
      </c>
      <c r="U76" s="19">
        <f>((U62=E1_Projektdaten!$D$109)*E1_Projektdaten!$D$108+(U62=E1_Projektdaten!$D$111)*E1_Projektdaten!$D$110)*('A9_NPV-Daten'!U62&gt;0)</f>
        <v>0</v>
      </c>
      <c r="V76" s="19">
        <f>((V62=E1_Projektdaten!$D$109)*E1_Projektdaten!$D$108+(V62=E1_Projektdaten!$D$111)*E1_Projektdaten!$D$110)*('A9_NPV-Daten'!V62&gt;0)</f>
        <v>0</v>
      </c>
    </row>
    <row r="77" spans="1:22" x14ac:dyDescent="0.2"/>
    <row r="78" spans="1:22" x14ac:dyDescent="0.2">
      <c r="A78" s="3">
        <v>930</v>
      </c>
      <c r="B78" s="36" t="s">
        <v>207</v>
      </c>
    </row>
    <row r="79" spans="1:22" x14ac:dyDescent="0.2">
      <c r="A79" s="3">
        <v>561</v>
      </c>
      <c r="B79" s="11" t="s">
        <v>103</v>
      </c>
      <c r="C79" s="27" t="s">
        <v>119</v>
      </c>
      <c r="D79" s="37">
        <f>VLOOKUP('A9_NPV-Daten'!D$62,B1_Berechnungen!$B$44:$S$68,10)</f>
        <v>0</v>
      </c>
      <c r="E79" s="37">
        <f>VLOOKUP('A9_NPV-Daten'!E$62,B1_Berechnungen!$B$44:$S$68,10)</f>
        <v>2730000</v>
      </c>
      <c r="F79" s="37">
        <f>VLOOKUP('A9_NPV-Daten'!F$62,B1_Berechnungen!$B$44:$S$68,10)</f>
        <v>1768200</v>
      </c>
      <c r="G79" s="37">
        <f>VLOOKUP('A9_NPV-Daten'!G$62,B1_Berechnungen!$B$44:$S$68,10)</f>
        <v>-616800</v>
      </c>
      <c r="H79" s="37">
        <f>VLOOKUP('A9_NPV-Daten'!H$62,B1_Berechnungen!$B$44:$S$68,10)</f>
        <v>2284200</v>
      </c>
      <c r="I79" s="37">
        <f>VLOOKUP('A9_NPV-Daten'!I$62,B1_Berechnungen!$B$44:$S$68,10)</f>
        <v>3627200</v>
      </c>
      <c r="J79" s="37">
        <f>VLOOKUP('A9_NPV-Daten'!J$62,B1_Berechnungen!$B$44:$S$68,10)</f>
        <v>4584200</v>
      </c>
      <c r="K79" s="37">
        <f>VLOOKUP('A9_NPV-Daten'!K$62,B1_Berechnungen!$B$44:$S$68,10)</f>
        <v>5384200</v>
      </c>
      <c r="L79" s="37">
        <f>VLOOKUP('A9_NPV-Daten'!L$62,B1_Berechnungen!$B$44:$S$68,10)</f>
        <v>5446200</v>
      </c>
      <c r="M79" s="37">
        <f>VLOOKUP('A9_NPV-Daten'!M$62,B1_Berechnungen!$B$44:$S$68,10)</f>
        <v>5446200</v>
      </c>
      <c r="N79" s="37">
        <f>VLOOKUP('A9_NPV-Daten'!N$62,B1_Berechnungen!$B$44:$S$68,10)</f>
        <v>5446200</v>
      </c>
      <c r="O79" s="37">
        <f>VLOOKUP('A9_NPV-Daten'!O$62,B1_Berechnungen!$B$44:$S$68,10)</f>
        <v>5646200</v>
      </c>
      <c r="P79" s="37">
        <f>VLOOKUP('A9_NPV-Daten'!P$62,B1_Berechnungen!$B$44:$S$68,10)</f>
        <v>5646200</v>
      </c>
      <c r="Q79" s="37">
        <f>VLOOKUP('A9_NPV-Daten'!Q$62,B1_Berechnungen!$B$44:$S$68,10)</f>
        <v>5646200</v>
      </c>
      <c r="R79" s="37">
        <f>VLOOKUP('A9_NPV-Daten'!R$62,B1_Berechnungen!$B$44:$S$68,10)</f>
        <v>5646200</v>
      </c>
      <c r="S79" s="37">
        <f>VLOOKUP('A9_NPV-Daten'!S$62,B1_Berechnungen!$B$44:$S$68,10)</f>
        <v>5646200</v>
      </c>
      <c r="T79" s="37">
        <f>VLOOKUP('A9_NPV-Daten'!T$62,B1_Berechnungen!$B$44:$S$68,10)</f>
        <v>5646200</v>
      </c>
      <c r="U79" s="37">
        <f>VLOOKUP('A9_NPV-Daten'!U$62,B1_Berechnungen!$B$44:$S$68,10)</f>
        <v>5181812.4178520003</v>
      </c>
    </row>
    <row r="80" spans="1:22" x14ac:dyDescent="0.2">
      <c r="A80" s="3">
        <v>574</v>
      </c>
      <c r="B80" s="11" t="s">
        <v>104</v>
      </c>
      <c r="C80" s="27" t="s">
        <v>119</v>
      </c>
      <c r="D80" s="37">
        <f>VLOOKUP('A9_NPV-Daten'!D$62,B1_Berechnungen!$B$44:$S$68,18)</f>
        <v>0</v>
      </c>
      <c r="E80" s="37">
        <f>VLOOKUP('A9_NPV-Daten'!E$62,B1_Berechnungen!$B$44:$S$68,18)</f>
        <v>0</v>
      </c>
      <c r="F80" s="37">
        <f>VLOOKUP('A9_NPV-Daten'!F$62,B1_Berechnungen!$B$44:$S$68,18)</f>
        <v>0</v>
      </c>
      <c r="G80" s="37">
        <f>VLOOKUP('A9_NPV-Daten'!G$62,B1_Berechnungen!$B$44:$S$68,18)</f>
        <v>0</v>
      </c>
      <c r="H80" s="37">
        <f>VLOOKUP('A9_NPV-Daten'!H$62,B1_Berechnungen!$B$44:$S$68,18)</f>
        <v>0</v>
      </c>
      <c r="I80" s="37">
        <f>VLOOKUP('A9_NPV-Daten'!I$62,B1_Berechnungen!$B$44:$S$68,18)</f>
        <v>0</v>
      </c>
      <c r="J80" s="37">
        <f>VLOOKUP('A9_NPV-Daten'!J$62,B1_Berechnungen!$B$44:$S$68,18)</f>
        <v>0</v>
      </c>
      <c r="K80" s="37">
        <f>VLOOKUP('A9_NPV-Daten'!K$62,B1_Berechnungen!$B$44:$S$68,18)</f>
        <v>0</v>
      </c>
      <c r="L80" s="37">
        <f>VLOOKUP('A9_NPV-Daten'!L$62,B1_Berechnungen!$B$44:$S$68,18)</f>
        <v>0</v>
      </c>
      <c r="M80" s="37">
        <f>VLOOKUP('A9_NPV-Daten'!M$62,B1_Berechnungen!$B$44:$S$68,18)</f>
        <v>0</v>
      </c>
      <c r="N80" s="37">
        <f>VLOOKUP('A9_NPV-Daten'!N$62,B1_Berechnungen!$B$44:$S$68,18)</f>
        <v>0</v>
      </c>
      <c r="O80" s="37">
        <f>VLOOKUP('A9_NPV-Daten'!O$62,B1_Berechnungen!$B$44:$S$68,18)</f>
        <v>0</v>
      </c>
      <c r="P80" s="37">
        <f>VLOOKUP('A9_NPV-Daten'!P$62,B1_Berechnungen!$B$44:$S$68,18)</f>
        <v>0</v>
      </c>
      <c r="Q80" s="37">
        <f>VLOOKUP('A9_NPV-Daten'!Q$62,B1_Berechnungen!$B$44:$S$68,18)</f>
        <v>0</v>
      </c>
      <c r="R80" s="37">
        <f>VLOOKUP('A9_NPV-Daten'!R$62,B1_Berechnungen!$B$44:$S$68,18)</f>
        <v>0</v>
      </c>
      <c r="S80" s="37">
        <f>VLOOKUP('A9_NPV-Daten'!S$62,B1_Berechnungen!$B$44:$S$68,18)</f>
        <v>0</v>
      </c>
      <c r="T80" s="37">
        <f>VLOOKUP('A9_NPV-Daten'!T$62,B1_Berechnungen!$B$44:$S$68,18)</f>
        <v>0</v>
      </c>
      <c r="U80" s="37">
        <f>VLOOKUP('A9_NPV-Daten'!U$62,B1_Berechnungen!$B$44:$S$68,18)</f>
        <v>0</v>
      </c>
    </row>
    <row r="1048576" ht="12.75" hidden="1" customHeight="1" x14ac:dyDescent="0.2"/>
  </sheetData>
  <sheetProtection algorithmName="SHA-512" hashValue="J4ytKTYLRFd1gocvXlckQRK7GJCF5VydpUnjUkmS+poOfnpPX+G2lpsNT5mYIcZTGqOFBVNA48yH6+okGjSOuw==" saltValue="zhgEtOEx0sWr9V6qxWq4qw=="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1"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Props1.xml><?xml version="1.0" encoding="utf-8"?>
<ds:datastoreItem xmlns:ds="http://schemas.openxmlformats.org/officeDocument/2006/customXml" ds:itemID="{D358EBC3-2C09-440A-8BCB-BDE02ABE650E}">
  <ds:schemaRefs>
    <ds:schemaRef ds:uri="http://schemas.microsoft.com/sharepoint/v3/contenttype/forms"/>
  </ds:schemaRefs>
</ds:datastoreItem>
</file>

<file path=customXml/itemProps2.xml><?xml version="1.0" encoding="utf-8"?>
<ds:datastoreItem xmlns:ds="http://schemas.openxmlformats.org/officeDocument/2006/customXml" ds:itemID="{10ECFC15-8AA3-4740-9D01-66FEBEDA4B8E}"/>
</file>

<file path=customXml/itemProps3.xml><?xml version="1.0" encoding="utf-8"?>
<ds:datastoreItem xmlns:ds="http://schemas.openxmlformats.org/officeDocument/2006/customXml" ds:itemID="{7F29CE93-94F2-4CBA-847A-E0036F5E6EF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466</vt:i4>
      </vt:variant>
    </vt:vector>
  </HeadingPairs>
  <TitlesOfParts>
    <vt:vector size="474" baseType="lpstr">
      <vt:lpstr>I1_Erläuterung</vt:lpstr>
      <vt:lpstr>E1_Projektdaten</vt:lpstr>
      <vt:lpstr>E2_Wärmepreis</vt:lpstr>
      <vt:lpstr>E3_Verbraucher</vt:lpstr>
      <vt:lpstr>B1_Berechnungen</vt:lpstr>
      <vt:lpstr>A1_Ergebnisse</vt:lpstr>
      <vt:lpstr>A2_Planerfolgsrechnung</vt:lpstr>
      <vt:lpstr>A9_NPV-Daten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A1_Ergebnisse!Druckbereich</vt:lpstr>
      <vt:lpstr>B1_Berechnungen!Druckbereich</vt:lpstr>
      <vt:lpstr>E1_Projektdaten!Druckbereich</vt:lpstr>
      <vt:lpstr>E2_Wärmepreis!Druckbereich</vt:lpstr>
      <vt:lpstr>E3_Verbraucher!Druckbereich</vt:lpstr>
      <vt:lpstr>E1_Projektdaten!Drucktitel</vt:lpstr>
      <vt:lpstr>E3_Verbraucher!Drucktitel</vt:lpstr>
      <vt:lpstr>I1_Erläuterung!Drucktitel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Eing_Förderung_wiederholend_Laufzeit_1</vt:lpstr>
      <vt:lpstr>Eing_Förderung_wiederholend_Laufzeit_2</vt:lpstr>
      <vt:lpstr>Eing_Invest_AWN</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A2_Planerfolgsrechnung!Erg_Wärmepreis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I1_800</vt:lpstr>
      <vt:lpstr>I1_811</vt:lpstr>
      <vt:lpstr>I1_81xa</vt:lpstr>
      <vt:lpstr>I1_81xb</vt:lpstr>
      <vt:lpstr>I1_81xc</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A2_Planerfolgsrechnung!Wärmepreis</vt:lpstr>
      <vt:lpstr>Wärmepreis</vt:lpstr>
      <vt:lpstr>WartungUnterhalt_Wärmeerzeugung</vt:lpstr>
      <vt:lpstr>WartungUnterhalt_Wärmeverteilung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creator>Patrik Küttel</dc:creator>
  <cp:lastModifiedBy>Patrik Küttel</cp:lastModifiedBy>
  <cp:lastPrinted>2024-09-20T09:13:00Z</cp:lastPrinted>
  <dcterms:created xsi:type="dcterms:W3CDTF">2008-04-08T07:16:33Z</dcterms:created>
  <dcterms:modified xsi:type="dcterms:W3CDTF">2025-12-08T13:57:18Z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0x0101006959F612D9DB294793DE07DB3E7EB7E8</vt:lpwstr>
  </property>
</Properties>
</file>