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V:\QM Holzheizwerke\QM_Unterlagen\1 Deutsch\12 QMmini\02 Version 3_Master Dateien\"/>
    </mc:Choice>
  </mc:AlternateContent>
  <xr:revisionPtr revIDLastSave="0" documentId="13_ncr:201_{A67A9769-8CA8-43DD-900A-9A28F0B40657}" xr6:coauthVersionLast="47" xr6:coauthVersionMax="47" xr10:uidLastSave="{00000000-0000-0000-0000-000000000000}"/>
  <workbookProtection workbookAlgorithmName="SHA-512" workbookHashValue="AvItw5gmvtAomaneY6v4uP0fW+cBwZyt9UX4TKj6zIzpudleSLrKGs6IKl1dmlmfQ9fKfpE1+K5TmYdeOlLfWA==" workbookSaltValue="ELhlM4CAQ59EUHk5i+cTDQ==" workbookSpinCount="100000" lockStructure="1"/>
  <bookViews>
    <workbookView xWindow="38280" yWindow="-120" windowWidth="38640" windowHeight="21120" tabRatio="747" xr2:uid="{11D3F956-5C8C-43DE-8B85-0925AB496354}"/>
  </bookViews>
  <sheets>
    <sheet name="Projektformular" sheetId="1" r:id="rId1"/>
    <sheet name="Text" sheetId="5" state="hidden" r:id="rId2"/>
    <sheet name="Kontrolle" sheetId="9" state="hidden" r:id="rId3"/>
    <sheet name="Berechnungen" sheetId="6" state="hidden" r:id="rId4"/>
    <sheet name="Dropdown" sheetId="2" state="hidden" r:id="rId5"/>
    <sheet name="Bilder" sheetId="7" state="hidden" r:id="rId6"/>
    <sheet name="Datenbank" sheetId="8" state="hidden" r:id="rId7"/>
    <sheet name="Leitfaden Anhang 3" sheetId="10" state="hidden" r:id="rId8"/>
    <sheet name="Logbuch" sheetId="11" state="hidden" r:id="rId9"/>
  </sheets>
  <externalReferences>
    <externalReference r:id="rId10"/>
  </externalReferences>
  <definedNames>
    <definedName name="_xlnm.Print_Area" localSheetId="0">Projektformular!$A$4:$S$72,Projektformular!$U$4:$AN$72,Projektformular!$AP$4:$BD$72,Projektformular!$BF$4:$BY$72,Projektformular!$CA$4:$CN$72</definedName>
    <definedName name="Einkessel" localSheetId="8">INDIRECT("Bilder!A"&amp;[1]Bilder!$G$1)</definedName>
    <definedName name="Einkessel">INDIRECT("Bilder!A"&amp;Bilder!$G$1)</definedName>
    <definedName name="Logo" localSheetId="8">INDIRECT("Bilder!B"&amp;[1]Bilder!$G$3)</definedName>
    <definedName name="Logo">INDIRECT("Bilder!B"&amp;Bilder!$G$5)</definedName>
    <definedName name="Logo_E_CH">INDIRECT("Bilder!B"&amp;Bilder!$G$9)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8" l="1"/>
  <c r="G54" i="1" l="1"/>
  <c r="G53" i="1"/>
  <c r="G52" i="1"/>
  <c r="N52" i="1"/>
  <c r="D48" i="9"/>
  <c r="D32" i="9"/>
  <c r="H93" i="8"/>
  <c r="H92" i="8"/>
  <c r="AZ33" i="1" l="1"/>
  <c r="H87" i="8" s="1"/>
  <c r="H46" i="8" l="1"/>
  <c r="H42" i="8"/>
  <c r="H17" i="8"/>
  <c r="H3" i="8"/>
  <c r="H2" i="8"/>
  <c r="Y6" i="1"/>
  <c r="AU6" i="1" s="1"/>
  <c r="BJ6" i="1" s="1"/>
  <c r="CE6" i="1" s="1"/>
  <c r="BL23" i="1" l="1"/>
  <c r="A9" i="2"/>
  <c r="C1" i="5" s="1"/>
  <c r="CP2" i="1"/>
  <c r="CP3" i="1"/>
  <c r="CP4" i="1"/>
  <c r="CP5" i="1"/>
  <c r="CP6" i="1"/>
  <c r="CP8" i="1"/>
  <c r="CP14" i="1"/>
  <c r="CP15" i="1"/>
  <c r="CP16" i="1"/>
  <c r="CP17" i="1"/>
  <c r="CP18" i="1"/>
  <c r="CP21" i="1"/>
  <c r="CP27" i="1"/>
  <c r="CP28" i="1"/>
  <c r="CP29" i="1"/>
  <c r="CP30" i="1"/>
  <c r="CP31" i="1"/>
  <c r="X20" i="6"/>
  <c r="CP40" i="1"/>
  <c r="CP41" i="1"/>
  <c r="CP42" i="1"/>
  <c r="CP43" i="1"/>
  <c r="CP44" i="1"/>
  <c r="CP45" i="1"/>
  <c r="CP46" i="1"/>
  <c r="CP47" i="1"/>
  <c r="CP48" i="1"/>
  <c r="CP49" i="1"/>
  <c r="CP50" i="1"/>
  <c r="CP58" i="1"/>
  <c r="CP60" i="1"/>
  <c r="CP61" i="1"/>
  <c r="CP62" i="1"/>
  <c r="CP66" i="1"/>
  <c r="CP71" i="1"/>
  <c r="CP72" i="1"/>
  <c r="CP73" i="1"/>
  <c r="CP76" i="1"/>
  <c r="CP79" i="1"/>
  <c r="CP84" i="1"/>
  <c r="CP85" i="1"/>
  <c r="CP86" i="1"/>
  <c r="CP96" i="1"/>
  <c r="CP97" i="1"/>
  <c r="CP98" i="1"/>
  <c r="CP99" i="1"/>
  <c r="CP100" i="1"/>
  <c r="H107" i="8"/>
  <c r="CP107" i="1" s="1"/>
  <c r="H108" i="8"/>
  <c r="CP108" i="1" s="1"/>
  <c r="CP112" i="1"/>
  <c r="CP113" i="1"/>
  <c r="H116" i="8"/>
  <c r="CP116" i="1" s="1"/>
  <c r="H117" i="8"/>
  <c r="CP117" i="1" s="1"/>
  <c r="H118" i="8"/>
  <c r="CP118" i="1" s="1"/>
  <c r="BV23" i="1"/>
  <c r="H120" i="8" s="1"/>
  <c r="CP129" i="1"/>
  <c r="CP130" i="1"/>
  <c r="CP131" i="1"/>
  <c r="CP137" i="1"/>
  <c r="CP138" i="1"/>
  <c r="H139" i="8"/>
  <c r="H157" i="8" s="1"/>
  <c r="H140" i="8"/>
  <c r="CP140" i="1" s="1"/>
  <c r="H143" i="8"/>
  <c r="CP143" i="1" s="1"/>
  <c r="CP146" i="1"/>
  <c r="CP147" i="1"/>
  <c r="H148" i="8"/>
  <c r="CP148" i="1" s="1"/>
  <c r="CP153" i="1"/>
  <c r="CP154" i="1"/>
  <c r="CP155" i="1"/>
  <c r="CP156" i="1"/>
  <c r="CH48" i="1"/>
  <c r="CH49" i="1" s="1"/>
  <c r="CP167" i="1"/>
  <c r="CP168" i="1"/>
  <c r="CP169" i="1"/>
  <c r="CP170" i="1"/>
  <c r="CP171" i="1"/>
  <c r="CP172" i="1"/>
  <c r="CP173" i="1"/>
  <c r="CP174" i="1"/>
  <c r="CP175" i="1"/>
  <c r="CP176" i="1"/>
  <c r="CP177" i="1"/>
  <c r="CP178" i="1"/>
  <c r="CP179" i="1"/>
  <c r="CP182" i="1"/>
  <c r="CP185" i="1"/>
  <c r="CP188" i="1"/>
  <c r="CP192" i="1"/>
  <c r="CP193" i="1"/>
  <c r="CP195" i="1"/>
  <c r="CP196" i="1"/>
  <c r="CP206" i="1"/>
  <c r="CP209" i="1"/>
  <c r="CP210" i="1"/>
  <c r="CP211" i="1"/>
  <c r="CP212" i="1"/>
  <c r="CP213" i="1"/>
  <c r="CP214" i="1"/>
  <c r="CP215" i="1"/>
  <c r="CP216" i="1"/>
  <c r="CP218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6" i="1"/>
  <c r="CP237" i="1"/>
  <c r="CP238" i="1"/>
  <c r="CP241" i="1"/>
  <c r="CP244" i="1"/>
  <c r="CP247" i="1"/>
  <c r="CP248" i="1"/>
  <c r="CP249" i="1"/>
  <c r="CP250" i="1"/>
  <c r="CP251" i="1"/>
  <c r="CP252" i="1"/>
  <c r="CP253" i="1"/>
  <c r="CP254" i="1"/>
  <c r="CP255" i="1"/>
  <c r="CP256" i="1"/>
  <c r="CP257" i="1"/>
  <c r="CP258" i="1"/>
  <c r="CP259" i="1"/>
  <c r="CP260" i="1"/>
  <c r="CP261" i="1"/>
  <c r="CP262" i="1"/>
  <c r="H128" i="8"/>
  <c r="CP128" i="1" s="1"/>
  <c r="G9" i="7"/>
  <c r="G5" i="7"/>
  <c r="H78" i="8"/>
  <c r="CP78" i="1" s="1"/>
  <c r="CP1" i="1"/>
  <c r="G190" i="8"/>
  <c r="G191" i="8"/>
  <c r="G189" i="8"/>
  <c r="E190" i="8"/>
  <c r="E191" i="8"/>
  <c r="E189" i="8"/>
  <c r="H186" i="8"/>
  <c r="CP186" i="1" s="1"/>
  <c r="H145" i="8"/>
  <c r="CP145" i="1" s="1"/>
  <c r="H136" i="8"/>
  <c r="CP136" i="1" s="1"/>
  <c r="H122" i="8"/>
  <c r="CP122" i="1" s="1"/>
  <c r="H121" i="8"/>
  <c r="CP121" i="1" s="1"/>
  <c r="H111" i="8"/>
  <c r="CP111" i="1" s="1"/>
  <c r="H101" i="8"/>
  <c r="CP101" i="1" s="1"/>
  <c r="CP93" i="1"/>
  <c r="CP92" i="1"/>
  <c r="G22" i="2"/>
  <c r="H82" i="8"/>
  <c r="CP82" i="1" s="1"/>
  <c r="H64" i="8"/>
  <c r="CP64" i="1" s="1"/>
  <c r="H65" i="8"/>
  <c r="CP65" i="1" s="1"/>
  <c r="H66" i="8"/>
  <c r="H67" i="8"/>
  <c r="CP67" i="1" s="1"/>
  <c r="H68" i="8"/>
  <c r="CP68" i="1" s="1"/>
  <c r="H69" i="8"/>
  <c r="CP69" i="1" s="1"/>
  <c r="H63" i="8"/>
  <c r="CP63" i="1" s="1"/>
  <c r="H59" i="8"/>
  <c r="CP59" i="1" s="1"/>
  <c r="H57" i="8"/>
  <c r="CP57" i="1" s="1"/>
  <c r="H56" i="8"/>
  <c r="CP56" i="1" s="1"/>
  <c r="H55" i="8"/>
  <c r="CP55" i="1" s="1"/>
  <c r="H54" i="8"/>
  <c r="CP54" i="1" s="1"/>
  <c r="H53" i="8"/>
  <c r="CP53" i="1" s="1"/>
  <c r="H52" i="8"/>
  <c r="CP52" i="1" s="1"/>
  <c r="H51" i="8"/>
  <c r="CP51" i="1" s="1"/>
  <c r="H26" i="8"/>
  <c r="CP26" i="1" s="1"/>
  <c r="H24" i="8"/>
  <c r="CP24" i="1" s="1"/>
  <c r="H23" i="8"/>
  <c r="CP23" i="1" s="1"/>
  <c r="H22" i="8"/>
  <c r="CP22" i="1" s="1"/>
  <c r="G200" i="8"/>
  <c r="G199" i="8"/>
  <c r="G198" i="8"/>
  <c r="G197" i="8"/>
  <c r="AW23" i="6"/>
  <c r="AW20" i="6"/>
  <c r="AW21" i="6"/>
  <c r="AW22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B20" i="6"/>
  <c r="Z20" i="6"/>
  <c r="AF20" i="6" s="1"/>
  <c r="Y20" i="6"/>
  <c r="AA20" i="6"/>
  <c r="AB21" i="6"/>
  <c r="Z21" i="6"/>
  <c r="AF21" i="6" s="1"/>
  <c r="X21" i="6"/>
  <c r="Y21" i="6"/>
  <c r="AA21" i="6"/>
  <c r="AE21" i="6" s="1"/>
  <c r="AB22" i="6"/>
  <c r="AE22" i="6" s="1"/>
  <c r="Z22" i="6"/>
  <c r="AD22" i="6" s="1"/>
  <c r="X22" i="6"/>
  <c r="Y22" i="6"/>
  <c r="AA22" i="6"/>
  <c r="AB23" i="6"/>
  <c r="Z23" i="6"/>
  <c r="X23" i="6"/>
  <c r="Y23" i="6"/>
  <c r="AA23" i="6"/>
  <c r="AF23" i="6" s="1"/>
  <c r="AB24" i="6"/>
  <c r="Z24" i="6"/>
  <c r="X24" i="6"/>
  <c r="Y24" i="6"/>
  <c r="AA24" i="6"/>
  <c r="AB25" i="6"/>
  <c r="Z25" i="6"/>
  <c r="X25" i="6"/>
  <c r="Y25" i="6"/>
  <c r="AA25" i="6"/>
  <c r="AB26" i="6"/>
  <c r="AE26" i="6" s="1"/>
  <c r="Z26" i="6"/>
  <c r="AF26" i="6" s="1"/>
  <c r="X26" i="6"/>
  <c r="Y26" i="6"/>
  <c r="AA26" i="6"/>
  <c r="AB27" i="6"/>
  <c r="AE27" i="6" s="1"/>
  <c r="Z27" i="6"/>
  <c r="X27" i="6"/>
  <c r="Y27" i="6"/>
  <c r="AA27" i="6"/>
  <c r="AB28" i="6"/>
  <c r="AD28" i="6" s="1"/>
  <c r="Z28" i="6"/>
  <c r="X28" i="6"/>
  <c r="Y28" i="6"/>
  <c r="AA28" i="6"/>
  <c r="AB29" i="6"/>
  <c r="Z29" i="6"/>
  <c r="X29" i="6"/>
  <c r="Y29" i="6"/>
  <c r="AA29" i="6"/>
  <c r="AF29" i="6" s="1"/>
  <c r="AB30" i="6"/>
  <c r="Z30" i="6"/>
  <c r="X30" i="6"/>
  <c r="Y30" i="6"/>
  <c r="AA30" i="6"/>
  <c r="AB31" i="6"/>
  <c r="AD31" i="6" s="1"/>
  <c r="Z31" i="6"/>
  <c r="AF31" i="6" s="1"/>
  <c r="X31" i="6"/>
  <c r="Y31" i="6"/>
  <c r="AA31" i="6"/>
  <c r="AB32" i="6"/>
  <c r="Z32" i="6"/>
  <c r="AD32" i="6" s="1"/>
  <c r="X32" i="6"/>
  <c r="Y32" i="6"/>
  <c r="AA32" i="6"/>
  <c r="AB33" i="6"/>
  <c r="Z33" i="6"/>
  <c r="X33" i="6"/>
  <c r="Y33" i="6"/>
  <c r="AA33" i="6"/>
  <c r="AB34" i="6"/>
  <c r="AE34" i="6" s="1"/>
  <c r="Z34" i="6"/>
  <c r="X34" i="6"/>
  <c r="Y34" i="6"/>
  <c r="AA34" i="6"/>
  <c r="AF34" i="6" s="1"/>
  <c r="AB35" i="6"/>
  <c r="AD35" i="6"/>
  <c r="Z35" i="6"/>
  <c r="X35" i="6"/>
  <c r="Y35" i="6"/>
  <c r="AA35" i="6"/>
  <c r="AB36" i="6"/>
  <c r="Z36" i="6"/>
  <c r="AF36" i="6" s="1"/>
  <c r="X36" i="6"/>
  <c r="Y36" i="6"/>
  <c r="AA36" i="6"/>
  <c r="AB37" i="6"/>
  <c r="Z37" i="6"/>
  <c r="X37" i="6"/>
  <c r="Y37" i="6"/>
  <c r="AA37" i="6"/>
  <c r="AB38" i="6"/>
  <c r="AE38" i="6" s="1"/>
  <c r="Z38" i="6"/>
  <c r="X38" i="6"/>
  <c r="Y38" i="6"/>
  <c r="AA38" i="6"/>
  <c r="AB39" i="6"/>
  <c r="AE39" i="6"/>
  <c r="Z39" i="6"/>
  <c r="AD39" i="6" s="1"/>
  <c r="X39" i="6"/>
  <c r="Y39" i="6"/>
  <c r="AA39" i="6"/>
  <c r="D2" i="9"/>
  <c r="F2" i="9" s="1"/>
  <c r="D3" i="9"/>
  <c r="F3" i="9" s="1"/>
  <c r="D4" i="9"/>
  <c r="F4" i="9" s="1"/>
  <c r="D5" i="9"/>
  <c r="F5" i="9" s="1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7" i="9"/>
  <c r="F17" i="9" s="1"/>
  <c r="D18" i="9"/>
  <c r="F18" i="9" s="1"/>
  <c r="D19" i="9"/>
  <c r="F19" i="9" s="1"/>
  <c r="D20" i="9"/>
  <c r="F20" i="9" s="1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27" i="9"/>
  <c r="F27" i="9" s="1"/>
  <c r="D28" i="9"/>
  <c r="F28" i="9" s="1"/>
  <c r="D29" i="9"/>
  <c r="F29" i="9" s="1"/>
  <c r="D30" i="9"/>
  <c r="F30" i="9" s="1"/>
  <c r="D38" i="9"/>
  <c r="F38" i="9" s="1"/>
  <c r="D39" i="9"/>
  <c r="F39" i="9" s="1"/>
  <c r="D45" i="9"/>
  <c r="F45" i="9" s="1"/>
  <c r="D46" i="9"/>
  <c r="F46" i="9" s="1"/>
  <c r="D47" i="9"/>
  <c r="F47" i="9" s="1"/>
  <c r="D50" i="9"/>
  <c r="F50" i="9" s="1"/>
  <c r="D51" i="9"/>
  <c r="F51" i="9" s="1"/>
  <c r="G60" i="6"/>
  <c r="BB33" i="1"/>
  <c r="H88" i="8" s="1"/>
  <c r="B59" i="6"/>
  <c r="C59" i="6"/>
  <c r="D59" i="6"/>
  <c r="E59" i="6"/>
  <c r="F59" i="6"/>
  <c r="G59" i="6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C92" i="6"/>
  <c r="B92" i="6"/>
  <c r="D52" i="9"/>
  <c r="E200" i="8"/>
  <c r="E199" i="8"/>
  <c r="E198" i="8"/>
  <c r="E197" i="8"/>
  <c r="H245" i="8"/>
  <c r="CP245" i="1" s="1"/>
  <c r="H207" i="8"/>
  <c r="CP207" i="1" s="1"/>
  <c r="CJ53" i="1"/>
  <c r="CJ51" i="1"/>
  <c r="CJ50" i="1"/>
  <c r="CH46" i="1"/>
  <c r="CH45" i="1"/>
  <c r="AA29" i="1"/>
  <c r="D58" i="6"/>
  <c r="E58" i="6"/>
  <c r="F58" i="6"/>
  <c r="G58" i="6"/>
  <c r="F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C58" i="6"/>
  <c r="B58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C24" i="6"/>
  <c r="X6" i="6"/>
  <c r="X7" i="6"/>
  <c r="Y7" i="6"/>
  <c r="Z7" i="6"/>
  <c r="AA7" i="6"/>
  <c r="AB7" i="6"/>
  <c r="AC7" i="6"/>
  <c r="AD7" i="6"/>
  <c r="AE7" i="6"/>
  <c r="AF7" i="6"/>
  <c r="X8" i="6"/>
  <c r="Y8" i="6"/>
  <c r="Z8" i="6"/>
  <c r="AA8" i="6"/>
  <c r="AB8" i="6"/>
  <c r="AC8" i="6"/>
  <c r="AD8" i="6"/>
  <c r="AE8" i="6"/>
  <c r="AF8" i="6"/>
  <c r="X9" i="6"/>
  <c r="Y9" i="6"/>
  <c r="Z9" i="6"/>
  <c r="AA9" i="6"/>
  <c r="AB9" i="6"/>
  <c r="AC9" i="6"/>
  <c r="AD9" i="6"/>
  <c r="AE9" i="6"/>
  <c r="AF9" i="6"/>
  <c r="X10" i="6"/>
  <c r="Y10" i="6"/>
  <c r="Z10" i="6"/>
  <c r="AA10" i="6"/>
  <c r="AB10" i="6"/>
  <c r="AC10" i="6"/>
  <c r="AD10" i="6"/>
  <c r="AE10" i="6"/>
  <c r="AF10" i="6"/>
  <c r="X11" i="6"/>
  <c r="Y11" i="6"/>
  <c r="Z11" i="6"/>
  <c r="AA11" i="6"/>
  <c r="AB11" i="6"/>
  <c r="AC11" i="6"/>
  <c r="AD11" i="6"/>
  <c r="AE11" i="6"/>
  <c r="AF11" i="6"/>
  <c r="X12" i="6"/>
  <c r="Y12" i="6"/>
  <c r="Z12" i="6"/>
  <c r="AA12" i="6"/>
  <c r="AB12" i="6"/>
  <c r="AC12" i="6"/>
  <c r="AD12" i="6"/>
  <c r="AE12" i="6"/>
  <c r="AF12" i="6"/>
  <c r="X13" i="6"/>
  <c r="Y13" i="6"/>
  <c r="Z13" i="6"/>
  <c r="AA13" i="6"/>
  <c r="AB13" i="6"/>
  <c r="AC13" i="6"/>
  <c r="AD13" i="6"/>
  <c r="AE13" i="6"/>
  <c r="AF13" i="6"/>
  <c r="X14" i="6"/>
  <c r="Y14" i="6"/>
  <c r="Z14" i="6"/>
  <c r="AA14" i="6"/>
  <c r="AB14" i="6"/>
  <c r="AC14" i="6"/>
  <c r="AD14" i="6"/>
  <c r="AE14" i="6"/>
  <c r="AF14" i="6"/>
  <c r="AF6" i="6"/>
  <c r="AE6" i="6"/>
  <c r="AD6" i="6"/>
  <c r="AC6" i="6"/>
  <c r="AB6" i="6"/>
  <c r="AA6" i="6"/>
  <c r="Z6" i="6"/>
  <c r="Y6" i="6"/>
  <c r="AR45" i="1"/>
  <c r="BL56" i="1"/>
  <c r="H151" i="8" s="1"/>
  <c r="AF28" i="6"/>
  <c r="AE28" i="6"/>
  <c r="AD23" i="6"/>
  <c r="AD33" i="6"/>
  <c r="AD25" i="6"/>
  <c r="AE37" i="6"/>
  <c r="AE24" i="6"/>
  <c r="AE36" i="6"/>
  <c r="AF27" i="6"/>
  <c r="AF37" i="6"/>
  <c r="AD34" i="6"/>
  <c r="AE32" i="6"/>
  <c r="AD27" i="6"/>
  <c r="AD36" i="6"/>
  <c r="AF38" i="6"/>
  <c r="AE35" i="6"/>
  <c r="AF30" i="6"/>
  <c r="AE20" i="6"/>
  <c r="AE30" i="6"/>
  <c r="H200" i="8"/>
  <c r="CP200" i="1" s="1"/>
  <c r="AE33" i="6"/>
  <c r="AE29" i="6"/>
  <c r="AF25" i="6"/>
  <c r="AE31" i="6"/>
  <c r="AD24" i="6"/>
  <c r="AF33" i="6"/>
  <c r="AF22" i="6"/>
  <c r="AF32" i="6"/>
  <c r="AE25" i="6"/>
  <c r="AD29" i="6"/>
  <c r="AF24" i="6"/>
  <c r="D16" i="9"/>
  <c r="F16" i="9" s="1"/>
  <c r="AD21" i="6" l="1"/>
  <c r="H199" i="8"/>
  <c r="CP199" i="1" s="1"/>
  <c r="H198" i="8"/>
  <c r="CP198" i="1" s="1"/>
  <c r="H70" i="8"/>
  <c r="CP70" i="1" s="1"/>
  <c r="H9" i="8"/>
  <c r="H7" i="8"/>
  <c r="CP7" i="1" s="1"/>
  <c r="G23" i="2"/>
  <c r="H25" i="8" s="1"/>
  <c r="CP25" i="1" s="1"/>
  <c r="AW40" i="6"/>
  <c r="CP139" i="1"/>
  <c r="AD26" i="6"/>
  <c r="AD38" i="6"/>
  <c r="AD30" i="6"/>
  <c r="AD20" i="6"/>
  <c r="AE23" i="6"/>
  <c r="H197" i="8"/>
  <c r="AD37" i="6"/>
  <c r="AF35" i="6"/>
  <c r="AF39" i="6"/>
  <c r="C245" i="5"/>
  <c r="C48" i="9" s="1"/>
  <c r="C108" i="5"/>
  <c r="A37" i="2" s="1"/>
  <c r="C184" i="5"/>
  <c r="C32" i="9" s="1"/>
  <c r="CP157" i="1"/>
  <c r="H160" i="8"/>
  <c r="CP160" i="1" s="1"/>
  <c r="CK51" i="1"/>
  <c r="C111" i="5"/>
  <c r="Y23" i="1" s="1"/>
  <c r="C75" i="5"/>
  <c r="A92" i="2" s="1"/>
  <c r="C157" i="5"/>
  <c r="A66" i="2" s="1"/>
  <c r="C142" i="5"/>
  <c r="A55" i="2" s="1"/>
  <c r="BI58" i="1" s="1"/>
  <c r="C200" i="5"/>
  <c r="C196" i="5"/>
  <c r="C274" i="5"/>
  <c r="CF52" i="1" s="1"/>
  <c r="C247" i="5"/>
  <c r="C127" i="5"/>
  <c r="C262" i="5"/>
  <c r="CF44" i="1" s="1"/>
  <c r="C299" i="5"/>
  <c r="C273" i="5"/>
  <c r="CF51" i="1" s="1"/>
  <c r="C239" i="5"/>
  <c r="C285" i="5"/>
  <c r="C268" i="5"/>
  <c r="CF46" i="1" s="1"/>
  <c r="C230" i="5"/>
  <c r="BF36" i="1" s="1"/>
  <c r="C284" i="5"/>
  <c r="C294" i="5"/>
  <c r="C32" i="5"/>
  <c r="C152" i="5"/>
  <c r="AU9" i="1" s="1"/>
  <c r="C55" i="5"/>
  <c r="B36" i="1" s="1"/>
  <c r="C29" i="5"/>
  <c r="E32" i="1" s="1"/>
  <c r="C41" i="5"/>
  <c r="C70" i="5"/>
  <c r="C272" i="5"/>
  <c r="CF50" i="1" s="1"/>
  <c r="C109" i="5"/>
  <c r="Y21" i="1" s="1"/>
  <c r="C140" i="5"/>
  <c r="C296" i="5"/>
  <c r="C260" i="5"/>
  <c r="CM5" i="1" s="1"/>
  <c r="C261" i="5"/>
  <c r="CA7" i="1" s="1"/>
  <c r="C167" i="5"/>
  <c r="AZ9" i="1" s="1"/>
  <c r="C141" i="5"/>
  <c r="C280" i="5"/>
  <c r="C217" i="5"/>
  <c r="BJ27" i="1" s="1"/>
  <c r="C113" i="5"/>
  <c r="Y25" i="1" s="1"/>
  <c r="C110" i="5"/>
  <c r="Y22" i="1" s="1"/>
  <c r="C114" i="5"/>
  <c r="Y26" i="1" s="1"/>
  <c r="C271" i="5"/>
  <c r="CF49" i="1" s="1"/>
  <c r="C40" i="5"/>
  <c r="C6" i="5"/>
  <c r="A7" i="1" s="1"/>
  <c r="C26" i="5"/>
  <c r="E29" i="1" s="1"/>
  <c r="C213" i="5"/>
  <c r="BJ23" i="1" s="1"/>
  <c r="C125" i="5"/>
  <c r="C28" i="9" s="1"/>
  <c r="C42" i="5"/>
  <c r="C233" i="5"/>
  <c r="BJ40" i="1" s="1"/>
  <c r="C2" i="5"/>
  <c r="A19" i="2" s="1"/>
  <c r="H115" i="8" s="1"/>
  <c r="CP115" i="1" s="1"/>
  <c r="C79" i="5"/>
  <c r="A96" i="2" s="1"/>
  <c r="C158" i="5"/>
  <c r="A67" i="2" s="1"/>
  <c r="C143" i="5"/>
  <c r="A56" i="2" s="1"/>
  <c r="V41" i="1" s="1"/>
  <c r="C279" i="5"/>
  <c r="C215" i="5"/>
  <c r="C41" i="9" s="1"/>
  <c r="C130" i="5"/>
  <c r="C281" i="5"/>
  <c r="C267" i="5"/>
  <c r="CF45" i="1" s="1"/>
  <c r="C251" i="5"/>
  <c r="BJ57" i="1" s="1"/>
  <c r="C195" i="5"/>
  <c r="BL9" i="1" s="1"/>
  <c r="C5" i="5"/>
  <c r="A15" i="9" s="1"/>
  <c r="C199" i="5"/>
  <c r="C22" i="5"/>
  <c r="A24" i="1" s="1"/>
  <c r="C131" i="5"/>
  <c r="C185" i="5"/>
  <c r="C244" i="5"/>
  <c r="C27" i="5"/>
  <c r="E30" i="1" s="1"/>
  <c r="C154" i="5"/>
  <c r="A61" i="2" s="1"/>
  <c r="C62" i="5"/>
  <c r="E51" i="1" s="1"/>
  <c r="C205" i="5"/>
  <c r="BJ18" i="1" s="1"/>
  <c r="C243" i="5"/>
  <c r="BJ49" i="1" s="1"/>
  <c r="C176" i="5"/>
  <c r="AY35" i="1" s="1"/>
  <c r="C214" i="5"/>
  <c r="BT23" i="1" s="1"/>
  <c r="C290" i="5"/>
  <c r="C16" i="5"/>
  <c r="E22" i="1" s="1"/>
  <c r="C203" i="5"/>
  <c r="C259" i="5"/>
  <c r="C177" i="5"/>
  <c r="AU36" i="1" s="1"/>
  <c r="C28" i="5"/>
  <c r="E31" i="1" s="1"/>
  <c r="C81" i="5"/>
  <c r="A98" i="2" s="1"/>
  <c r="C288" i="5"/>
  <c r="A44" i="2" s="1"/>
  <c r="C202" i="5"/>
  <c r="C66" i="5"/>
  <c r="Y9" i="1" s="1"/>
  <c r="C183" i="5"/>
  <c r="AU44" i="1" s="1"/>
  <c r="C237" i="5"/>
  <c r="BH44" i="1" s="1"/>
  <c r="C166" i="5"/>
  <c r="AY9" i="1" s="1"/>
  <c r="C193" i="5"/>
  <c r="BJ9" i="1" s="1"/>
  <c r="C240" i="5"/>
  <c r="BJ46" i="1" s="1"/>
  <c r="C295" i="5"/>
  <c r="C106" i="5"/>
  <c r="A35" i="2" s="1"/>
  <c r="C163" i="5"/>
  <c r="AX9" i="1" s="1"/>
  <c r="C37" i="5"/>
  <c r="C191" i="5"/>
  <c r="BI9" i="1" s="1"/>
  <c r="C194" i="5"/>
  <c r="BJ10" i="1" s="1"/>
  <c r="C197" i="5"/>
  <c r="BP11" i="1" s="1"/>
  <c r="C126" i="5"/>
  <c r="C115" i="5"/>
  <c r="Y27" i="1" s="1"/>
  <c r="C120" i="5"/>
  <c r="U31" i="1" s="1"/>
  <c r="C119" i="5"/>
  <c r="Y29" i="1" s="1"/>
  <c r="C52" i="5"/>
  <c r="C8" i="5"/>
  <c r="E10" i="1" s="1"/>
  <c r="C69" i="5"/>
  <c r="C150" i="5"/>
  <c r="AV9" i="1" s="1"/>
  <c r="C45" i="5"/>
  <c r="C263" i="5"/>
  <c r="CG44" i="1" s="1"/>
  <c r="C175" i="5"/>
  <c r="AY33" i="1" s="1"/>
  <c r="C19" i="5"/>
  <c r="A4" i="2" s="1"/>
  <c r="C147" i="5"/>
  <c r="AQ42" i="1" s="1"/>
  <c r="C39" i="5"/>
  <c r="C303" i="5"/>
  <c r="C181" i="5"/>
  <c r="AU42" i="1" s="1"/>
  <c r="C286" i="5"/>
  <c r="C46" i="9" s="1"/>
  <c r="C275" i="5"/>
  <c r="CF53" i="1" s="1"/>
  <c r="C44" i="5"/>
  <c r="C264" i="5"/>
  <c r="CH44" i="1" s="1"/>
  <c r="C138" i="5"/>
  <c r="A52" i="2" s="1"/>
  <c r="C118" i="5"/>
  <c r="AC25" i="1" s="1"/>
  <c r="C169" i="5"/>
  <c r="BA10" i="1" s="1"/>
  <c r="C178" i="5"/>
  <c r="AY37" i="1" s="1"/>
  <c r="C246" i="5"/>
  <c r="BH52" i="1" s="1"/>
  <c r="C47" i="5"/>
  <c r="C248" i="5"/>
  <c r="BJ54" i="1" s="1"/>
  <c r="C190" i="5"/>
  <c r="BH10" i="1" s="1"/>
  <c r="C88" i="5"/>
  <c r="A105" i="2" s="1"/>
  <c r="C144" i="5"/>
  <c r="A57" i="2" s="1"/>
  <c r="C51" i="5"/>
  <c r="C187" i="5"/>
  <c r="A48" i="9" s="1"/>
  <c r="C283" i="5"/>
  <c r="C105" i="5"/>
  <c r="A34" i="2" s="1"/>
  <c r="C301" i="5"/>
  <c r="C305" i="5"/>
  <c r="C153" i="5"/>
  <c r="A60" i="2" s="1"/>
  <c r="C291" i="5"/>
  <c r="A46" i="2" s="1"/>
  <c r="C139" i="5"/>
  <c r="C107" i="5"/>
  <c r="A36" i="2" s="1"/>
  <c r="C121" i="5"/>
  <c r="C25" i="9" s="1"/>
  <c r="C298" i="5"/>
  <c r="C46" i="5"/>
  <c r="C277" i="5"/>
  <c r="CJ22" i="1" s="1"/>
  <c r="C128" i="5"/>
  <c r="C117" i="5"/>
  <c r="AC24" i="1" s="1"/>
  <c r="C186" i="5"/>
  <c r="C35" i="5"/>
  <c r="C253" i="5"/>
  <c r="A82" i="2" s="1"/>
  <c r="C123" i="5"/>
  <c r="C61" i="5"/>
  <c r="B51" i="1" s="1"/>
  <c r="C204" i="5"/>
  <c r="BF16" i="1" s="1"/>
  <c r="C250" i="5"/>
  <c r="BJ56" i="1" s="1"/>
  <c r="C38" i="5"/>
  <c r="C20" i="5"/>
  <c r="A5" i="2" s="1"/>
  <c r="C4" i="5"/>
  <c r="E5" i="1" s="1"/>
  <c r="AU5" i="1" s="1"/>
  <c r="C304" i="5"/>
  <c r="C218" i="5"/>
  <c r="C151" i="5"/>
  <c r="AV10" i="1" s="1"/>
  <c r="C101" i="5"/>
  <c r="Y15" i="1" s="1"/>
  <c r="C64" i="5"/>
  <c r="C223" i="5"/>
  <c r="BG31" i="1" s="1"/>
  <c r="C300" i="5"/>
  <c r="C148" i="5"/>
  <c r="AQ43" i="1" s="1"/>
  <c r="C103" i="5"/>
  <c r="U19" i="1" s="1"/>
  <c r="C116" i="5"/>
  <c r="AC21" i="1" s="1"/>
  <c r="C145" i="5"/>
  <c r="C292" i="5"/>
  <c r="CL42" i="1" s="1"/>
  <c r="C33" i="5"/>
  <c r="C234" i="5"/>
  <c r="BJ41" i="1" s="1"/>
  <c r="C165" i="5"/>
  <c r="AY10" i="1" s="1"/>
  <c r="C15" i="5"/>
  <c r="C249" i="5"/>
  <c r="BJ55" i="1" s="1"/>
  <c r="C12" i="5"/>
  <c r="C13" i="9" s="1"/>
  <c r="C94" i="5"/>
  <c r="A111" i="2" s="1"/>
  <c r="C155" i="5"/>
  <c r="A64" i="2" s="1"/>
  <c r="C99" i="5"/>
  <c r="A30" i="2" s="1"/>
  <c r="C252" i="5"/>
  <c r="A81" i="2" s="1"/>
  <c r="C135" i="5"/>
  <c r="A49" i="2" s="1"/>
  <c r="C229" i="5"/>
  <c r="C231" i="5"/>
  <c r="BH38" i="1" s="1"/>
  <c r="C242" i="5"/>
  <c r="C170" i="5"/>
  <c r="BA11" i="1" s="1"/>
  <c r="C287" i="5"/>
  <c r="AQ38" i="1" s="1"/>
  <c r="C209" i="5"/>
  <c r="C257" i="5"/>
  <c r="C11" i="5"/>
  <c r="C25" i="5"/>
  <c r="E28" i="1" s="1"/>
  <c r="C129" i="5"/>
  <c r="C282" i="5"/>
  <c r="C168" i="5"/>
  <c r="BA9" i="1" s="1"/>
  <c r="C179" i="5"/>
  <c r="AP40" i="1" s="1"/>
  <c r="C97" i="5"/>
  <c r="C258" i="5"/>
  <c r="BN54" i="1" s="1"/>
  <c r="C17" i="5"/>
  <c r="A2" i="2" s="1"/>
  <c r="C10" i="5"/>
  <c r="C102" i="5"/>
  <c r="C174" i="5"/>
  <c r="BC9" i="1" s="1"/>
  <c r="C31" i="5"/>
  <c r="E34" i="1" s="1"/>
  <c r="C60" i="5"/>
  <c r="B45" i="1" s="1"/>
  <c r="C265" i="5"/>
  <c r="CI44" i="1" s="1"/>
  <c r="C21" i="5"/>
  <c r="A6" i="2" s="1"/>
  <c r="C164" i="5"/>
  <c r="AX10" i="1" s="1"/>
  <c r="C160" i="5"/>
  <c r="A71" i="2" s="1"/>
  <c r="C221" i="5"/>
  <c r="A77" i="2" s="1"/>
  <c r="C255" i="5"/>
  <c r="A84" i="2" s="1"/>
  <c r="C276" i="5"/>
  <c r="CC55" i="1" s="1"/>
  <c r="C236" i="5"/>
  <c r="BN41" i="1" s="1"/>
  <c r="C198" i="5"/>
  <c r="BR11" i="1" s="1"/>
  <c r="C34" i="5"/>
  <c r="C192" i="5"/>
  <c r="BI10" i="1" s="1"/>
  <c r="C7" i="5"/>
  <c r="C54" i="5"/>
  <c r="G34" i="1" s="1"/>
  <c r="C211" i="5"/>
  <c r="BO21" i="1" s="1"/>
  <c r="C238" i="5"/>
  <c r="C134" i="5"/>
  <c r="C29" i="9" s="1"/>
  <c r="C171" i="5"/>
  <c r="BB9" i="1" s="1"/>
  <c r="C219" i="5"/>
  <c r="BJ29" i="1" s="1"/>
  <c r="C24" i="5"/>
  <c r="E27" i="1" s="1"/>
  <c r="C13" i="5"/>
  <c r="A15" i="1" s="1"/>
  <c r="C36" i="5"/>
  <c r="C161" i="5"/>
  <c r="A72" i="2" s="1"/>
  <c r="C159" i="5"/>
  <c r="C133" i="5"/>
  <c r="A41" i="2" s="1"/>
  <c r="C224" i="5"/>
  <c r="C30" i="5"/>
  <c r="E33" i="1" s="1"/>
  <c r="C241" i="5"/>
  <c r="BJ47" i="1" s="1"/>
  <c r="C266" i="5"/>
  <c r="CJ44" i="1" s="1"/>
  <c r="C59" i="5"/>
  <c r="A44" i="1" s="1"/>
  <c r="C210" i="5"/>
  <c r="BT21" i="1" s="1"/>
  <c r="C206" i="5"/>
  <c r="BO18" i="1" s="1"/>
  <c r="C23" i="5"/>
  <c r="E26" i="1" s="1"/>
  <c r="C57" i="5"/>
  <c r="C50" i="5"/>
  <c r="C222" i="5"/>
  <c r="A78" i="2" s="1"/>
  <c r="C18" i="5"/>
  <c r="A3" i="2" s="1"/>
  <c r="C53" i="5"/>
  <c r="C122" i="5"/>
  <c r="C48" i="5"/>
  <c r="C65" i="5"/>
  <c r="U7" i="1" s="1"/>
  <c r="C100" i="5"/>
  <c r="A31" i="2" s="1"/>
  <c r="C49" i="5"/>
  <c r="C269" i="5"/>
  <c r="CF47" i="1" s="1"/>
  <c r="C172" i="5"/>
  <c r="BB10" i="1" s="1"/>
  <c r="C43" i="5"/>
  <c r="C149" i="5"/>
  <c r="AR9" i="1" s="1"/>
  <c r="C227" i="5"/>
  <c r="C297" i="5"/>
  <c r="C63" i="5"/>
  <c r="C58" i="5"/>
  <c r="C235" i="5"/>
  <c r="BJ42" i="1" s="1"/>
  <c r="C189" i="5"/>
  <c r="C278" i="5"/>
  <c r="CC54" i="1" s="1"/>
  <c r="C71" i="5"/>
  <c r="A88" i="2" s="1"/>
  <c r="C156" i="5"/>
  <c r="A65" i="2" s="1"/>
  <c r="C225" i="5"/>
  <c r="C212" i="5"/>
  <c r="C40" i="9" s="1"/>
  <c r="C232" i="5"/>
  <c r="BJ39" i="1" s="1"/>
  <c r="C173" i="5"/>
  <c r="BB11" i="1" s="1"/>
  <c r="C216" i="5"/>
  <c r="C42" i="9" s="1"/>
  <c r="C68" i="5"/>
  <c r="C254" i="5"/>
  <c r="A83" i="2" s="1"/>
  <c r="C207" i="5"/>
  <c r="BJ19" i="1" s="1"/>
  <c r="C293" i="5"/>
  <c r="C188" i="5"/>
  <c r="BF7" i="1" s="1"/>
  <c r="C270" i="5"/>
  <c r="CF48" i="1" s="1"/>
  <c r="C124" i="5"/>
  <c r="C27" i="9" s="1"/>
  <c r="C9" i="5"/>
  <c r="C67" i="5"/>
  <c r="C14" i="5"/>
  <c r="C112" i="5"/>
  <c r="Y24" i="1" s="1"/>
  <c r="C302" i="5"/>
  <c r="C208" i="5"/>
  <c r="BL20" i="1" s="1"/>
  <c r="C146" i="5"/>
  <c r="AP7" i="1" s="1"/>
  <c r="C182" i="5"/>
  <c r="C180" i="5"/>
  <c r="AR42" i="1" s="1"/>
  <c r="C104" i="5"/>
  <c r="C23" i="9" s="1"/>
  <c r="H162" i="8"/>
  <c r="CP162" i="1" s="1"/>
  <c r="H161" i="8"/>
  <c r="CP161" i="1" s="1"/>
  <c r="C77" i="5"/>
  <c r="A94" i="2" s="1"/>
  <c r="C228" i="5"/>
  <c r="C289" i="5"/>
  <c r="A45" i="2" s="1"/>
  <c r="C220" i="5"/>
  <c r="A76" i="2" s="1"/>
  <c r="C91" i="5"/>
  <c r="A108" i="2" s="1"/>
  <c r="C73" i="5"/>
  <c r="A90" i="2" s="1"/>
  <c r="CH47" i="1"/>
  <c r="C3" i="5"/>
  <c r="A20" i="2" s="1"/>
  <c r="C56" i="5"/>
  <c r="C137" i="5"/>
  <c r="C256" i="5"/>
  <c r="A85" i="2" s="1"/>
  <c r="C162" i="5"/>
  <c r="A73" i="2" s="1"/>
  <c r="C86" i="5"/>
  <c r="A103" i="2" s="1"/>
  <c r="C93" i="5"/>
  <c r="A110" i="2" s="1"/>
  <c r="C201" i="5"/>
  <c r="C136" i="5"/>
  <c r="A50" i="2" s="1"/>
  <c r="C98" i="5"/>
  <c r="A29" i="2" s="1"/>
  <c r="C84" i="5"/>
  <c r="A101" i="2" s="1"/>
  <c r="C83" i="5"/>
  <c r="A100" i="2" s="1"/>
  <c r="AA33" i="1"/>
  <c r="C7" i="9"/>
  <c r="CP9" i="1"/>
  <c r="H10" i="8"/>
  <c r="CP10" i="1" s="1"/>
  <c r="CP120" i="1"/>
  <c r="H165" i="8"/>
  <c r="CP165" i="1" s="1"/>
  <c r="CP88" i="1"/>
  <c r="H158" i="8"/>
  <c r="C96" i="5"/>
  <c r="A113" i="2" s="1"/>
  <c r="C89" i="5"/>
  <c r="A106" i="2" s="1"/>
  <c r="C85" i="5"/>
  <c r="A102" i="2" s="1"/>
  <c r="C80" i="5"/>
  <c r="A97" i="2" s="1"/>
  <c r="C76" i="5"/>
  <c r="A93" i="2" s="1"/>
  <c r="C72" i="5"/>
  <c r="A89" i="2" s="1"/>
  <c r="C90" i="5"/>
  <c r="A107" i="2" s="1"/>
  <c r="C132" i="5"/>
  <c r="A40" i="2" s="1"/>
  <c r="H246" i="8"/>
  <c r="CP246" i="1" s="1"/>
  <c r="CP87" i="1"/>
  <c r="C92" i="5"/>
  <c r="A109" i="2" s="1"/>
  <c r="C87" i="5"/>
  <c r="A104" i="2" s="1"/>
  <c r="C82" i="5"/>
  <c r="A99" i="2" s="1"/>
  <c r="C78" i="5"/>
  <c r="A95" i="2" s="1"/>
  <c r="C74" i="5"/>
  <c r="A91" i="2" s="1"/>
  <c r="C95" i="5"/>
  <c r="A112" i="2" s="1"/>
  <c r="CJ52" i="1"/>
  <c r="H119" i="8"/>
  <c r="H208" i="8"/>
  <c r="CP208" i="1" s="1"/>
  <c r="BL41" i="1" l="1"/>
  <c r="H134" i="8" s="1"/>
  <c r="CP134" i="1" s="1"/>
  <c r="W16" i="6"/>
  <c r="CP197" i="1"/>
  <c r="H201" i="8"/>
  <c r="CP201" i="1" s="1"/>
  <c r="A92" i="6"/>
  <c r="A12" i="9"/>
  <c r="BL54" i="1"/>
  <c r="H149" i="8" s="1"/>
  <c r="CP149" i="1" s="1"/>
  <c r="H83" i="8"/>
  <c r="CP83" i="1" s="1"/>
  <c r="A16" i="9"/>
  <c r="A14" i="9"/>
  <c r="A4" i="9"/>
  <c r="A11" i="9"/>
  <c r="A8" i="9"/>
  <c r="A5" i="9"/>
  <c r="A3" i="9"/>
  <c r="C24" i="9"/>
  <c r="A7" i="9"/>
  <c r="AA35" i="1"/>
  <c r="A13" i="9"/>
  <c r="A6" i="9"/>
  <c r="A18" i="9"/>
  <c r="BJ21" i="1"/>
  <c r="C88" i="2"/>
  <c r="H19" i="8" s="1"/>
  <c r="H20" i="8" s="1"/>
  <c r="CP20" i="1" s="1"/>
  <c r="AA36" i="1"/>
  <c r="AQ10" i="1"/>
  <c r="BJ5" i="1"/>
  <c r="AG30" i="6"/>
  <c r="BC20" i="1"/>
  <c r="AC27" i="6" s="1"/>
  <c r="F48" i="9"/>
  <c r="BC5" i="1"/>
  <c r="A32" i="9"/>
  <c r="BC15" i="1"/>
  <c r="AC22" i="6" s="1"/>
  <c r="H75" i="8"/>
  <c r="CP75" i="1" s="1"/>
  <c r="C17" i="9"/>
  <c r="BG34" i="1"/>
  <c r="AX43" i="1"/>
  <c r="H74" i="8"/>
  <c r="CP74" i="1" s="1"/>
  <c r="A33" i="9"/>
  <c r="AG23" i="6"/>
  <c r="BC30" i="1"/>
  <c r="AC37" i="6" s="1"/>
  <c r="AI34" i="1"/>
  <c r="D31" i="9" s="1"/>
  <c r="F31" i="9" s="1"/>
  <c r="BA34" i="1"/>
  <c r="BI13" i="1"/>
  <c r="BI12" i="1"/>
  <c r="BJ12" i="1" s="1"/>
  <c r="H103" i="8" s="1"/>
  <c r="CP103" i="1" s="1"/>
  <c r="BJ22" i="1"/>
  <c r="BG32" i="1"/>
  <c r="A29" i="9"/>
  <c r="BC21" i="1"/>
  <c r="AC28" i="6" s="1"/>
  <c r="BT12" i="1"/>
  <c r="G29" i="1" s="1"/>
  <c r="AR44" i="1"/>
  <c r="Y16" i="1"/>
  <c r="AQ9" i="1"/>
  <c r="AG27" i="6"/>
  <c r="C38" i="9"/>
  <c r="BC18" i="1"/>
  <c r="AC25" i="6" s="1"/>
  <c r="BC14" i="1"/>
  <c r="AC21" i="6" s="1"/>
  <c r="AG26" i="6"/>
  <c r="AG20" i="6"/>
  <c r="BC26" i="1"/>
  <c r="AC33" i="6" s="1"/>
  <c r="BC27" i="1"/>
  <c r="AC34" i="6" s="1"/>
  <c r="BC22" i="1"/>
  <c r="AC29" i="6" s="1"/>
  <c r="AG35" i="6"/>
  <c r="AG25" i="6"/>
  <c r="BC24" i="1"/>
  <c r="AC31" i="6" s="1"/>
  <c r="D40" i="9"/>
  <c r="F40" i="9" s="1"/>
  <c r="BN27" i="1"/>
  <c r="H124" i="8" s="1"/>
  <c r="CP124" i="1" s="1"/>
  <c r="AG33" i="6"/>
  <c r="C16" i="9"/>
  <c r="D59" i="1"/>
  <c r="D41" i="1"/>
  <c r="Y14" i="1"/>
  <c r="C22" i="9"/>
  <c r="BV20" i="1"/>
  <c r="C39" i="9"/>
  <c r="A25" i="9"/>
  <c r="A30" i="9"/>
  <c r="A28" i="9"/>
  <c r="A26" i="9"/>
  <c r="A21" i="9"/>
  <c r="A31" i="9"/>
  <c r="A23" i="9"/>
  <c r="A24" i="9"/>
  <c r="A27" i="9"/>
  <c r="A17" i="9"/>
  <c r="A22" i="9"/>
  <c r="A19" i="9"/>
  <c r="A20" i="9"/>
  <c r="AM5" i="1"/>
  <c r="C37" i="9"/>
  <c r="C49" i="9"/>
  <c r="C44" i="9"/>
  <c r="A87" i="2"/>
  <c r="C21" i="9"/>
  <c r="Y13" i="1"/>
  <c r="C51" i="9"/>
  <c r="BJ53" i="1"/>
  <c r="AA37" i="1"/>
  <c r="AG36" i="6"/>
  <c r="AG39" i="6"/>
  <c r="BC13" i="1"/>
  <c r="AC20" i="6" s="1"/>
  <c r="A68" i="2"/>
  <c r="BC16" i="1"/>
  <c r="AC23" i="6" s="1"/>
  <c r="C45" i="9"/>
  <c r="BJ45" i="1"/>
  <c r="D42" i="9"/>
  <c r="F42" i="9" s="1"/>
  <c r="D41" i="9"/>
  <c r="F41" i="9" s="1"/>
  <c r="AJ34" i="1"/>
  <c r="BP9" i="1"/>
  <c r="C36" i="9"/>
  <c r="C35" i="9"/>
  <c r="BC17" i="1"/>
  <c r="AC24" i="6" s="1"/>
  <c r="BC29" i="1"/>
  <c r="AC36" i="6" s="1"/>
  <c r="BC31" i="1"/>
  <c r="AC38" i="6" s="1"/>
  <c r="AG29" i="6"/>
  <c r="AG34" i="6"/>
  <c r="AG28" i="6"/>
  <c r="BC25" i="1"/>
  <c r="AC32" i="6" s="1"/>
  <c r="C8" i="9"/>
  <c r="E17" i="1"/>
  <c r="AA34" i="1"/>
  <c r="C26" i="9"/>
  <c r="C50" i="9"/>
  <c r="BJ48" i="1"/>
  <c r="L11" i="1"/>
  <c r="L52" i="1"/>
  <c r="L19" i="1"/>
  <c r="BJ28" i="1"/>
  <c r="C43" i="9"/>
  <c r="H77" i="8"/>
  <c r="CP77" i="1" s="1"/>
  <c r="C47" i="9"/>
  <c r="BR45" i="1"/>
  <c r="BC28" i="1"/>
  <c r="AC35" i="6" s="1"/>
  <c r="BC23" i="1"/>
  <c r="AC30" i="6" s="1"/>
  <c r="AG21" i="6"/>
  <c r="AH21" i="6" s="1"/>
  <c r="AG31" i="6"/>
  <c r="AG32" i="6"/>
  <c r="AG37" i="6"/>
  <c r="AH37" i="6" s="1"/>
  <c r="C15" i="9"/>
  <c r="Y10" i="1"/>
  <c r="C18" i="9"/>
  <c r="Y11" i="1"/>
  <c r="C19" i="9"/>
  <c r="C31" i="9"/>
  <c r="AG34" i="1"/>
  <c r="C30" i="9"/>
  <c r="AA38" i="1"/>
  <c r="AG24" i="6"/>
  <c r="AG38" i="6"/>
  <c r="E11" i="1"/>
  <c r="C4" i="9"/>
  <c r="E19" i="1"/>
  <c r="C10" i="9"/>
  <c r="E52" i="1"/>
  <c r="BH9" i="1"/>
  <c r="C34" i="9"/>
  <c r="C2" i="9"/>
  <c r="E9" i="1"/>
  <c r="E20" i="1"/>
  <c r="C5" i="9"/>
  <c r="E53" i="1"/>
  <c r="C11" i="9"/>
  <c r="E12" i="1"/>
  <c r="C14" i="9"/>
  <c r="L20" i="1"/>
  <c r="CE5" i="1"/>
  <c r="Y5" i="1"/>
  <c r="A46" i="9"/>
  <c r="A42" i="9"/>
  <c r="A50" i="9"/>
  <c r="A40" i="9"/>
  <c r="BX5" i="1"/>
  <c r="A49" i="9"/>
  <c r="A45" i="9"/>
  <c r="A43" i="9"/>
  <c r="A39" i="9"/>
  <c r="A47" i="9"/>
  <c r="A38" i="9"/>
  <c r="A36" i="9"/>
  <c r="A34" i="9"/>
  <c r="A44" i="9"/>
  <c r="A51" i="9"/>
  <c r="A37" i="9"/>
  <c r="A41" i="9"/>
  <c r="A35" i="9"/>
  <c r="B59" i="1"/>
  <c r="B41" i="1"/>
  <c r="BC32" i="1"/>
  <c r="AC39" i="6" s="1"/>
  <c r="AG22" i="6"/>
  <c r="AR43" i="1"/>
  <c r="AU43" i="1"/>
  <c r="E21" i="1"/>
  <c r="E54" i="1"/>
  <c r="E13" i="1"/>
  <c r="C12" i="9"/>
  <c r="C6" i="9"/>
  <c r="AY43" i="1"/>
  <c r="C33" i="9"/>
  <c r="Y12" i="1"/>
  <c r="C20" i="9"/>
  <c r="BC19" i="1"/>
  <c r="AC26" i="6" s="1"/>
  <c r="BN56" i="1"/>
  <c r="BN55" i="1"/>
  <c r="C3" i="9"/>
  <c r="E18" i="1"/>
  <c r="C9" i="9"/>
  <c r="R5" i="1"/>
  <c r="A2" i="9"/>
  <c r="A9" i="9"/>
  <c r="A10" i="9"/>
  <c r="W39" i="1"/>
  <c r="V39" i="1"/>
  <c r="W40" i="1"/>
  <c r="A51" i="2"/>
  <c r="H81" i="8" s="1"/>
  <c r="CP81" i="1" s="1"/>
  <c r="BJ25" i="1"/>
  <c r="D34" i="9"/>
  <c r="F34" i="9" s="1"/>
  <c r="D36" i="9"/>
  <c r="F36" i="9" s="1"/>
  <c r="D35" i="9"/>
  <c r="F35" i="9" s="1"/>
  <c r="BJ26" i="1"/>
  <c r="H80" i="8"/>
  <c r="CP80" i="1" s="1"/>
  <c r="CE22" i="1"/>
  <c r="CI48" i="1"/>
  <c r="CI49" i="1" s="1"/>
  <c r="CH22" i="1"/>
  <c r="G1" i="7"/>
  <c r="CI45" i="1"/>
  <c r="H11" i="8"/>
  <c r="CP11" i="1" s="1"/>
  <c r="BL46" i="1"/>
  <c r="BL47" i="1" s="1"/>
  <c r="BI50" i="1" s="1"/>
  <c r="CP158" i="1"/>
  <c r="H163" i="8"/>
  <c r="CP163" i="1" s="1"/>
  <c r="CP119" i="1"/>
  <c r="H164" i="8"/>
  <c r="H219" i="8"/>
  <c r="H202" i="8"/>
  <c r="BL55" i="1" l="1"/>
  <c r="H150" i="8" s="1"/>
  <c r="CP150" i="1" s="1"/>
  <c r="AK31" i="6"/>
  <c r="AW56" i="1" s="1"/>
  <c r="AK30" i="6"/>
  <c r="AW55" i="1" s="1"/>
  <c r="AO25" i="6"/>
  <c r="AR35" i="6"/>
  <c r="AO23" i="6"/>
  <c r="AO24" i="6"/>
  <c r="AK20" i="6"/>
  <c r="AW45" i="1" s="1"/>
  <c r="AL30" i="6"/>
  <c r="AO39" i="6"/>
  <c r="AI38" i="6"/>
  <c r="AU63" i="1" s="1"/>
  <c r="AR26" i="6"/>
  <c r="AJ22" i="6"/>
  <c r="AV47" i="1" s="1"/>
  <c r="AI37" i="6"/>
  <c r="AU62" i="1" s="1"/>
  <c r="AR30" i="6"/>
  <c r="AJ33" i="6"/>
  <c r="AV58" i="1" s="1"/>
  <c r="AK27" i="6"/>
  <c r="AW52" i="1" s="1"/>
  <c r="AK26" i="6"/>
  <c r="AW51" i="1" s="1"/>
  <c r="AL28" i="6"/>
  <c r="AI34" i="6"/>
  <c r="AU59" i="1" s="1"/>
  <c r="AI30" i="6"/>
  <c r="AU55" i="1" s="1"/>
  <c r="AO32" i="6"/>
  <c r="AL29" i="6"/>
  <c r="AJ27" i="6"/>
  <c r="AV52" i="1" s="1"/>
  <c r="D92" i="6"/>
  <c r="H36" i="8" s="1"/>
  <c r="CP36" i="1" s="1"/>
  <c r="AR37" i="6"/>
  <c r="AR28" i="6"/>
  <c r="AO28" i="6"/>
  <c r="AO34" i="6"/>
  <c r="AI23" i="6"/>
  <c r="AU48" i="1" s="1"/>
  <c r="AJ23" i="6"/>
  <c r="AV48" i="1" s="1"/>
  <c r="AH34" i="6"/>
  <c r="AS34" i="6" s="1"/>
  <c r="AL23" i="6"/>
  <c r="AO35" i="6"/>
  <c r="AH23" i="6"/>
  <c r="AS23" i="6" s="1"/>
  <c r="AH35" i="6"/>
  <c r="AP35" i="6" s="1"/>
  <c r="AJ24" i="6"/>
  <c r="AV49" i="1" s="1"/>
  <c r="AR34" i="6"/>
  <c r="AR21" i="6"/>
  <c r="AH25" i="6"/>
  <c r="AP25" i="6" s="1"/>
  <c r="AR29" i="6"/>
  <c r="AK38" i="6"/>
  <c r="AW63" i="1" s="1"/>
  <c r="AO30" i="6"/>
  <c r="AJ30" i="6"/>
  <c r="AV55" i="1" s="1"/>
  <c r="AH30" i="6"/>
  <c r="AP30" i="6" s="1"/>
  <c r="AL22" i="6"/>
  <c r="CP19" i="1"/>
  <c r="AL37" i="6"/>
  <c r="AH27" i="6"/>
  <c r="AJ32" i="6"/>
  <c r="AV57" i="1" s="1"/>
  <c r="AK32" i="6"/>
  <c r="AW57" i="1" s="1"/>
  <c r="AK29" i="6"/>
  <c r="AW54" i="1" s="1"/>
  <c r="AI39" i="6"/>
  <c r="AU64" i="1" s="1"/>
  <c r="AI32" i="6"/>
  <c r="AU57" i="1" s="1"/>
  <c r="AJ29" i="6"/>
  <c r="AV54" i="1" s="1"/>
  <c r="AI27" i="6"/>
  <c r="AU52" i="1" s="1"/>
  <c r="AL27" i="6"/>
  <c r="AH32" i="6"/>
  <c r="AP32" i="6" s="1"/>
  <c r="AI29" i="6"/>
  <c r="AU54" i="1" s="1"/>
  <c r="AR27" i="6"/>
  <c r="AO27" i="6"/>
  <c r="AO29" i="6"/>
  <c r="AL32" i="6"/>
  <c r="AR32" i="6"/>
  <c r="AR39" i="6"/>
  <c r="AH29" i="6"/>
  <c r="AP29" i="6" s="1"/>
  <c r="AO33" i="6"/>
  <c r="AJ26" i="6"/>
  <c r="AV51" i="1" s="1"/>
  <c r="AI26" i="6"/>
  <c r="AU51" i="1" s="1"/>
  <c r="AO26" i="6"/>
  <c r="BL12" i="1"/>
  <c r="H104" i="8" s="1"/>
  <c r="CP104" i="1" s="1"/>
  <c r="AH26" i="6"/>
  <c r="AM26" i="6" s="1"/>
  <c r="AL26" i="6"/>
  <c r="H102" i="8"/>
  <c r="CP102" i="1" s="1"/>
  <c r="AK24" i="6"/>
  <c r="AW49" i="1" s="1"/>
  <c r="AR25" i="6"/>
  <c r="AH38" i="6"/>
  <c r="AS38" i="6" s="1"/>
  <c r="AL34" i="6"/>
  <c r="AL25" i="6"/>
  <c r="AL38" i="6"/>
  <c r="AJ37" i="6"/>
  <c r="AV62" i="1" s="1"/>
  <c r="AK23" i="6"/>
  <c r="AW48" i="1" s="1"/>
  <c r="AH24" i="6"/>
  <c r="AM24" i="6" s="1"/>
  <c r="AJ25" i="6"/>
  <c r="AV50" i="1" s="1"/>
  <c r="AJ28" i="6"/>
  <c r="AV53" i="1" s="1"/>
  <c r="AK35" i="6"/>
  <c r="AW60" i="1" s="1"/>
  <c r="AR38" i="6"/>
  <c r="AI22" i="6"/>
  <c r="AU47" i="1" s="1"/>
  <c r="AO38" i="6"/>
  <c r="AI24" i="6"/>
  <c r="AU49" i="1" s="1"/>
  <c r="AK28" i="6"/>
  <c r="AW53" i="1" s="1"/>
  <c r="AI28" i="6"/>
  <c r="AU53" i="1" s="1"/>
  <c r="AJ34" i="6"/>
  <c r="AV59" i="1" s="1"/>
  <c r="AI35" i="6"/>
  <c r="AU60" i="1" s="1"/>
  <c r="AK37" i="6"/>
  <c r="AW62" i="1" s="1"/>
  <c r="AL24" i="6"/>
  <c r="AK25" i="6"/>
  <c r="AW50" i="1" s="1"/>
  <c r="AJ35" i="6"/>
  <c r="AV60" i="1" s="1"/>
  <c r="AK34" i="6"/>
  <c r="AW59" i="1" s="1"/>
  <c r="AO37" i="6"/>
  <c r="AR23" i="6"/>
  <c r="AR24" i="6"/>
  <c r="AI25" i="6"/>
  <c r="AU50" i="1" s="1"/>
  <c r="AH28" i="6"/>
  <c r="AP28" i="6" s="1"/>
  <c r="AL35" i="6"/>
  <c r="AJ38" i="6"/>
  <c r="AV63" i="1" s="1"/>
  <c r="H35" i="8"/>
  <c r="CP35" i="1" s="1"/>
  <c r="AI31" i="6"/>
  <c r="AU56" i="1" s="1"/>
  <c r="CP151" i="1"/>
  <c r="AJ20" i="6"/>
  <c r="AV45" i="1" s="1"/>
  <c r="AL20" i="6"/>
  <c r="AH20" i="6"/>
  <c r="AR20" i="6"/>
  <c r="AI20" i="6"/>
  <c r="AU45" i="1" s="1"/>
  <c r="AO20" i="6"/>
  <c r="AI21" i="6"/>
  <c r="AU46" i="1" s="1"/>
  <c r="AL21" i="6"/>
  <c r="BB34" i="1"/>
  <c r="AJ21" i="6"/>
  <c r="AV46" i="1" s="1"/>
  <c r="H109" i="8"/>
  <c r="CP109" i="1" s="1"/>
  <c r="D94" i="6"/>
  <c r="AK21" i="6"/>
  <c r="AW46" i="1" s="1"/>
  <c r="AO21" i="6"/>
  <c r="AO36" i="6"/>
  <c r="AR36" i="6"/>
  <c r="AH36" i="6"/>
  <c r="AJ31" i="6"/>
  <c r="AV56" i="1" s="1"/>
  <c r="AJ36" i="6"/>
  <c r="AV61" i="1" s="1"/>
  <c r="AI33" i="6"/>
  <c r="AU58" i="1" s="1"/>
  <c r="AL31" i="6"/>
  <c r="AH22" i="6"/>
  <c r="AO22" i="6"/>
  <c r="AR22" i="6"/>
  <c r="AR31" i="6"/>
  <c r="AO31" i="6"/>
  <c r="AH33" i="6"/>
  <c r="AP33" i="6" s="1"/>
  <c r="AH31" i="6"/>
  <c r="AM31" i="6" s="1"/>
  <c r="AL33" i="6"/>
  <c r="AI36" i="6"/>
  <c r="AU61" i="1" s="1"/>
  <c r="AK33" i="6"/>
  <c r="AW58" i="1" s="1"/>
  <c r="AT49" i="1"/>
  <c r="AS48" i="1"/>
  <c r="AT52" i="1"/>
  <c r="AS52" i="1"/>
  <c r="AS54" i="1"/>
  <c r="AS59" i="1"/>
  <c r="AS60" i="1"/>
  <c r="AT47" i="1"/>
  <c r="AT57" i="1"/>
  <c r="AS51" i="1"/>
  <c r="AT50" i="1"/>
  <c r="AT54" i="1"/>
  <c r="AT48" i="1"/>
  <c r="AT62" i="1"/>
  <c r="AS45" i="1"/>
  <c r="AT51" i="1"/>
  <c r="AT46" i="1"/>
  <c r="AT59" i="1"/>
  <c r="AS53" i="1"/>
  <c r="AS58" i="1"/>
  <c r="AS50" i="1"/>
  <c r="AT56" i="1"/>
  <c r="AS46" i="1"/>
  <c r="AT58" i="1"/>
  <c r="AS62" i="1"/>
  <c r="AS63" i="1"/>
  <c r="AS56" i="1"/>
  <c r="AT55" i="1"/>
  <c r="AT45" i="1"/>
  <c r="AT63" i="1"/>
  <c r="AS64" i="1"/>
  <c r="AS49" i="1"/>
  <c r="AT64" i="1"/>
  <c r="AT60" i="1"/>
  <c r="AS55" i="1"/>
  <c r="AT61" i="1"/>
  <c r="AS57" i="1"/>
  <c r="AS47" i="1"/>
  <c r="AS61" i="1"/>
  <c r="AT53" i="1"/>
  <c r="AL36" i="6"/>
  <c r="AR33" i="6"/>
  <c r="AK36" i="6"/>
  <c r="AW61" i="1" s="1"/>
  <c r="AK22" i="6"/>
  <c r="AW47" i="1" s="1"/>
  <c r="AH39" i="6"/>
  <c r="AL39" i="6"/>
  <c r="AJ39" i="6"/>
  <c r="AV64" i="1" s="1"/>
  <c r="AK39" i="6"/>
  <c r="AW64" i="1" s="1"/>
  <c r="BL49" i="1"/>
  <c r="H144" i="8" s="1"/>
  <c r="H141" i="8"/>
  <c r="H187" i="8" s="1"/>
  <c r="AM32" i="6"/>
  <c r="H183" i="8"/>
  <c r="CP183" i="1" s="1"/>
  <c r="CI47" i="1"/>
  <c r="CI46" i="1"/>
  <c r="AM34" i="6"/>
  <c r="AN34" i="6" s="1"/>
  <c r="H12" i="8"/>
  <c r="CP12" i="1" s="1"/>
  <c r="AP37" i="6"/>
  <c r="AS37" i="6"/>
  <c r="AM37" i="6"/>
  <c r="AP21" i="6"/>
  <c r="AS21" i="6"/>
  <c r="AM21" i="6"/>
  <c r="H184" i="8"/>
  <c r="CP184" i="1" s="1"/>
  <c r="H142" i="8"/>
  <c r="CP142" i="1" s="1"/>
  <c r="H166" i="8"/>
  <c r="CP166" i="1" s="1"/>
  <c r="CP164" i="1"/>
  <c r="CP219" i="1"/>
  <c r="H242" i="8"/>
  <c r="H203" i="8"/>
  <c r="CP203" i="1" s="1"/>
  <c r="H204" i="8"/>
  <c r="CP204" i="1" s="1"/>
  <c r="CP202" i="1"/>
  <c r="AT37" i="6" l="1"/>
  <c r="AM25" i="6"/>
  <c r="AP24" i="6"/>
  <c r="AQ33" i="6"/>
  <c r="AN32" i="6"/>
  <c r="AQ37" i="6"/>
  <c r="AQ29" i="6"/>
  <c r="AQ32" i="6"/>
  <c r="G30" i="1"/>
  <c r="AQ25" i="6"/>
  <c r="BN12" i="1"/>
  <c r="BB35" i="1" s="1"/>
  <c r="H91" i="8" s="1"/>
  <c r="AS32" i="6"/>
  <c r="AT32" i="6" s="1"/>
  <c r="AU32" i="6" s="1"/>
  <c r="AX57" i="1" s="1"/>
  <c r="AV32" i="6" s="1"/>
  <c r="AP23" i="6"/>
  <c r="AQ23" i="6" s="1"/>
  <c r="AM23" i="6"/>
  <c r="AN23" i="6" s="1"/>
  <c r="AQ24" i="6"/>
  <c r="AS29" i="6"/>
  <c r="AT29" i="6" s="1"/>
  <c r="AM29" i="6"/>
  <c r="AN29" i="6" s="1"/>
  <c r="AT21" i="6"/>
  <c r="AP34" i="6"/>
  <c r="AQ34" i="6" s="1"/>
  <c r="AP38" i="6"/>
  <c r="AQ38" i="6" s="1"/>
  <c r="AM38" i="6"/>
  <c r="AN38" i="6" s="1"/>
  <c r="AQ28" i="6"/>
  <c r="AT34" i="6"/>
  <c r="AS25" i="6"/>
  <c r="AT25" i="6" s="1"/>
  <c r="AQ35" i="6"/>
  <c r="AQ21" i="6"/>
  <c r="AN26" i="6"/>
  <c r="AS24" i="6"/>
  <c r="AT24" i="6" s="1"/>
  <c r="AM35" i="6"/>
  <c r="AN35" i="6" s="1"/>
  <c r="AS31" i="6"/>
  <c r="AT31" i="6" s="1"/>
  <c r="AS35" i="6"/>
  <c r="AT35" i="6" s="1"/>
  <c r="AQ30" i="6"/>
  <c r="AS26" i="6"/>
  <c r="AT26" i="6" s="1"/>
  <c r="AN21" i="6"/>
  <c r="AS30" i="6"/>
  <c r="AT30" i="6" s="1"/>
  <c r="AM30" i="6"/>
  <c r="AN30" i="6" s="1"/>
  <c r="AN37" i="6"/>
  <c r="AU37" i="6" s="1"/>
  <c r="AX62" i="1" s="1"/>
  <c r="AV37" i="6" s="1"/>
  <c r="AP26" i="6"/>
  <c r="AQ26" i="6" s="1"/>
  <c r="AT38" i="6"/>
  <c r="AN25" i="6"/>
  <c r="AP27" i="6"/>
  <c r="AQ27" i="6" s="1"/>
  <c r="AS27" i="6"/>
  <c r="AT27" i="6" s="1"/>
  <c r="AM27" i="6"/>
  <c r="AN27" i="6" s="1"/>
  <c r="AP31" i="6"/>
  <c r="AQ31" i="6" s="1"/>
  <c r="H89" i="8"/>
  <c r="CP89" i="1" s="1"/>
  <c r="AT23" i="6"/>
  <c r="AS28" i="6"/>
  <c r="AT28" i="6" s="1"/>
  <c r="AM28" i="6"/>
  <c r="AN28" i="6" s="1"/>
  <c r="AN31" i="6"/>
  <c r="AN24" i="6"/>
  <c r="G32" i="1"/>
  <c r="CP144" i="1"/>
  <c r="AP20" i="6"/>
  <c r="AQ20" i="6" s="1"/>
  <c r="AS20" i="6"/>
  <c r="AT20" i="6" s="1"/>
  <c r="AM20" i="6"/>
  <c r="AN20" i="6" s="1"/>
  <c r="CP141" i="1"/>
  <c r="BO49" i="1"/>
  <c r="D49" i="9" s="1"/>
  <c r="F49" i="9" s="1"/>
  <c r="H38" i="8"/>
  <c r="CP38" i="1" s="1"/>
  <c r="BI14" i="1"/>
  <c r="D37" i="9" s="1"/>
  <c r="F37" i="9" s="1"/>
  <c r="D95" i="6"/>
  <c r="H110" i="8" s="1"/>
  <c r="AM33" i="6"/>
  <c r="AN33" i="6" s="1"/>
  <c r="AS33" i="6"/>
  <c r="AT33" i="6" s="1"/>
  <c r="H159" i="8"/>
  <c r="CP159" i="1" s="1"/>
  <c r="AP36" i="6"/>
  <c r="AQ36" i="6" s="1"/>
  <c r="AS36" i="6"/>
  <c r="AT36" i="6" s="1"/>
  <c r="AM36" i="6"/>
  <c r="AN36" i="6" s="1"/>
  <c r="AS39" i="6"/>
  <c r="AT39" i="6" s="1"/>
  <c r="AM39" i="6"/>
  <c r="AN39" i="6" s="1"/>
  <c r="AP39" i="6"/>
  <c r="AQ39" i="6" s="1"/>
  <c r="AM22" i="6"/>
  <c r="AN22" i="6" s="1"/>
  <c r="AP22" i="6"/>
  <c r="AQ22" i="6" s="1"/>
  <c r="AS22" i="6"/>
  <c r="AT22" i="6" s="1"/>
  <c r="CP242" i="1"/>
  <c r="H243" i="8"/>
  <c r="CP243" i="1" s="1"/>
  <c r="H191" i="8"/>
  <c r="CP191" i="1" s="1"/>
  <c r="CP187" i="1"/>
  <c r="H189" i="8"/>
  <c r="CP189" i="1" s="1"/>
  <c r="H190" i="8"/>
  <c r="CP190" i="1" s="1"/>
  <c r="H105" i="8" l="1"/>
  <c r="CP105" i="1" s="1"/>
  <c r="AU29" i="6"/>
  <c r="AX54" i="1" s="1"/>
  <c r="AV29" i="6" s="1"/>
  <c r="BO12" i="1"/>
  <c r="AU35" i="6"/>
  <c r="AX60" i="1" s="1"/>
  <c r="AV35" i="6" s="1"/>
  <c r="BL39" i="1"/>
  <c r="BB37" i="1"/>
  <c r="H152" i="8" s="1"/>
  <c r="AU23" i="6"/>
  <c r="AX48" i="1" s="1"/>
  <c r="AV23" i="6" s="1"/>
  <c r="AU34" i="6"/>
  <c r="AX59" i="1" s="1"/>
  <c r="AV34" i="6" s="1"/>
  <c r="AU21" i="6"/>
  <c r="AX46" i="1" s="1"/>
  <c r="AV21" i="6" s="1"/>
  <c r="AU38" i="6"/>
  <c r="AX63" i="1" s="1"/>
  <c r="AV38" i="6" s="1"/>
  <c r="AU30" i="6"/>
  <c r="AX55" i="1" s="1"/>
  <c r="AV30" i="6" s="1"/>
  <c r="AU25" i="6"/>
  <c r="AX50" i="1" s="1"/>
  <c r="AV25" i="6" s="1"/>
  <c r="AU26" i="6"/>
  <c r="AX51" i="1" s="1"/>
  <c r="AV26" i="6" s="1"/>
  <c r="BJ13" i="1"/>
  <c r="AU24" i="6"/>
  <c r="AX49" i="1" s="1"/>
  <c r="AV24" i="6" s="1"/>
  <c r="AU28" i="6"/>
  <c r="AX53" i="1" s="1"/>
  <c r="AV28" i="6" s="1"/>
  <c r="AU27" i="6"/>
  <c r="AX52" i="1" s="1"/>
  <c r="AV27" i="6" s="1"/>
  <c r="AU31" i="6"/>
  <c r="AX56" i="1" s="1"/>
  <c r="AV31" i="6" s="1"/>
  <c r="H106" i="8"/>
  <c r="CP106" i="1" s="1"/>
  <c r="AZ35" i="1"/>
  <c r="H90" i="8" s="1"/>
  <c r="CP91" i="1"/>
  <c r="AU20" i="6"/>
  <c r="AX45" i="1" s="1"/>
  <c r="AV20" i="6" s="1"/>
  <c r="AU33" i="6"/>
  <c r="AX58" i="1" s="1"/>
  <c r="AV33" i="6" s="1"/>
  <c r="AU36" i="6"/>
  <c r="AX61" i="1" s="1"/>
  <c r="AV36" i="6" s="1"/>
  <c r="AU22" i="6"/>
  <c r="AX47" i="1" s="1"/>
  <c r="AV22" i="6" s="1"/>
  <c r="AU39" i="6"/>
  <c r="AX64" i="1" s="1"/>
  <c r="AV39" i="6" s="1"/>
  <c r="F32" i="9" s="1"/>
  <c r="BL40" i="1"/>
  <c r="BL42" i="1" s="1"/>
  <c r="H135" i="8" s="1"/>
  <c r="H132" i="8"/>
  <c r="CP132" i="1" s="1"/>
  <c r="BL57" i="1" l="1"/>
  <c r="G33" i="1" s="1"/>
  <c r="BL27" i="1"/>
  <c r="H123" i="8" s="1"/>
  <c r="CP123" i="1" s="1"/>
  <c r="CP110" i="1"/>
  <c r="H95" i="8"/>
  <c r="H180" i="8" s="1"/>
  <c r="CP180" i="1" s="1"/>
  <c r="H94" i="8"/>
  <c r="AV40" i="6"/>
  <c r="H32" i="8" s="1"/>
  <c r="CP32" i="1" s="1"/>
  <c r="AZ37" i="1"/>
  <c r="BL18" i="1" s="1"/>
  <c r="H114" i="8" s="1"/>
  <c r="CP114" i="1" s="1"/>
  <c r="H133" i="8"/>
  <c r="CP133" i="1" s="1"/>
  <c r="CP152" i="1"/>
  <c r="CP90" i="1"/>
  <c r="H39" i="8" l="1"/>
  <c r="CP39" i="1" s="1"/>
  <c r="H217" i="8"/>
  <c r="CP217" i="1" s="1"/>
  <c r="CP95" i="1"/>
  <c r="H181" i="8"/>
  <c r="CP181" i="1" s="1"/>
  <c r="H194" i="8"/>
  <c r="CP194" i="1" s="1"/>
  <c r="G26" i="1"/>
  <c r="AX40" i="6"/>
  <c r="D33" i="9" s="1"/>
  <c r="F33" i="9" s="1"/>
  <c r="BL29" i="1"/>
  <c r="H126" i="8" s="1"/>
  <c r="CP126" i="1" s="1"/>
  <c r="H33" i="8"/>
  <c r="CP33" i="1" s="1"/>
  <c r="G27" i="1"/>
  <c r="D226" i="5"/>
  <c r="G226" i="5"/>
  <c r="F226" i="5"/>
  <c r="H37" i="8"/>
  <c r="CP37" i="1" s="1"/>
  <c r="CP135" i="1"/>
  <c r="G31" i="1"/>
  <c r="BO42" i="1"/>
  <c r="D44" i="9" s="1"/>
  <c r="F44" i="9" s="1"/>
  <c r="BL28" i="1"/>
  <c r="H127" i="8" s="1"/>
  <c r="H13" i="8"/>
  <c r="CP13" i="1" s="1"/>
  <c r="H205" i="8"/>
  <c r="CP205" i="1" s="1"/>
  <c r="CP94" i="1"/>
  <c r="H125" i="8"/>
  <c r="CP125" i="1" s="1"/>
  <c r="E226" i="5"/>
  <c r="H239" i="8" l="1"/>
  <c r="CP239" i="1" s="1"/>
  <c r="C226" i="5"/>
  <c r="BG33" i="1" s="1"/>
  <c r="BP28" i="1"/>
  <c r="D43" i="9" s="1"/>
  <c r="F43" i="9" s="1"/>
  <c r="G32" i="9" s="1"/>
  <c r="H32" i="9" s="1"/>
  <c r="CP127" i="1"/>
  <c r="G28" i="1"/>
  <c r="H34" i="8"/>
  <c r="CP34" i="1" s="1"/>
  <c r="G48" i="9" l="1"/>
  <c r="H48" i="9" s="1"/>
  <c r="H240" i="8"/>
  <c r="CP240" i="1" s="1"/>
  <c r="F52" i="9"/>
  <c r="G8" i="9"/>
  <c r="H8" i="9" s="1"/>
  <c r="B81" i="1" s="1"/>
  <c r="G41" i="9"/>
  <c r="H41" i="9" s="1"/>
  <c r="B113" i="1" s="1"/>
  <c r="G2" i="9"/>
  <c r="H2" i="9" s="1"/>
  <c r="B75" i="1" s="1"/>
  <c r="G35" i="9"/>
  <c r="H35" i="9" s="1"/>
  <c r="B107" i="1" s="1"/>
  <c r="G3" i="9"/>
  <c r="H3" i="9" s="1"/>
  <c r="B76" i="1" s="1"/>
  <c r="G21" i="9"/>
  <c r="H21" i="9" s="1"/>
  <c r="B94" i="1" s="1"/>
  <c r="G14" i="9"/>
  <c r="H14" i="9" s="1"/>
  <c r="B87" i="1" s="1"/>
  <c r="G31" i="9"/>
  <c r="H31" i="9" s="1"/>
  <c r="B104" i="1" s="1"/>
  <c r="G50" i="9"/>
  <c r="H50" i="9" s="1"/>
  <c r="B120" i="1" s="1"/>
  <c r="G29" i="9"/>
  <c r="H29" i="9" s="1"/>
  <c r="B102" i="1" s="1"/>
  <c r="G51" i="9"/>
  <c r="H51" i="9" s="1"/>
  <c r="B121" i="1" s="1"/>
  <c r="G43" i="9"/>
  <c r="G36" i="9"/>
  <c r="H36" i="9" s="1"/>
  <c r="B108" i="1" s="1"/>
  <c r="G12" i="9"/>
  <c r="H12" i="9" s="1"/>
  <c r="B85" i="1" s="1"/>
  <c r="G22" i="9"/>
  <c r="H22" i="9" s="1"/>
  <c r="B95" i="1" s="1"/>
  <c r="G4" i="9"/>
  <c r="H4" i="9" s="1"/>
  <c r="B77" i="1" s="1"/>
  <c r="G26" i="9"/>
  <c r="H26" i="9" s="1"/>
  <c r="B99" i="1" s="1"/>
  <c r="G34" i="9"/>
  <c r="H34" i="9" s="1"/>
  <c r="B106" i="1" s="1"/>
  <c r="G49" i="9"/>
  <c r="H49" i="9" s="1"/>
  <c r="B119" i="1" s="1"/>
  <c r="G9" i="9"/>
  <c r="H9" i="9" s="1"/>
  <c r="B82" i="1" s="1"/>
  <c r="G25" i="9"/>
  <c r="H25" i="9" s="1"/>
  <c r="B98" i="1" s="1"/>
  <c r="G5" i="9"/>
  <c r="H5" i="9" s="1"/>
  <c r="B78" i="1" s="1"/>
  <c r="G40" i="9"/>
  <c r="H40" i="9" s="1"/>
  <c r="B112" i="1" s="1"/>
  <c r="G46" i="9"/>
  <c r="H46" i="9" s="1"/>
  <c r="B117" i="1" s="1"/>
  <c r="G38" i="9"/>
  <c r="H38" i="9" s="1"/>
  <c r="B110" i="1" s="1"/>
  <c r="G13" i="9"/>
  <c r="H13" i="9" s="1"/>
  <c r="B86" i="1" s="1"/>
  <c r="G30" i="9"/>
  <c r="H30" i="9" s="1"/>
  <c r="B103" i="1" s="1"/>
  <c r="G24" i="9"/>
  <c r="H24" i="9" s="1"/>
  <c r="B97" i="1" s="1"/>
  <c r="G17" i="9"/>
  <c r="H17" i="9" s="1"/>
  <c r="B90" i="1" s="1"/>
  <c r="G28" i="9"/>
  <c r="H28" i="9" s="1"/>
  <c r="B101" i="1" s="1"/>
  <c r="G45" i="9"/>
  <c r="H45" i="9" s="1"/>
  <c r="B116" i="1" s="1"/>
  <c r="G42" i="9"/>
  <c r="H42" i="9" s="1"/>
  <c r="B114" i="1" s="1"/>
  <c r="G16" i="9"/>
  <c r="H16" i="9" s="1"/>
  <c r="B89" i="1" s="1"/>
  <c r="G37" i="9"/>
  <c r="H37" i="9" s="1"/>
  <c r="B109" i="1" s="1"/>
  <c r="G44" i="9"/>
  <c r="H44" i="9" s="1"/>
  <c r="B115" i="1" s="1"/>
  <c r="G27" i="9"/>
  <c r="H27" i="9" s="1"/>
  <c r="B100" i="1" s="1"/>
  <c r="G7" i="9"/>
  <c r="H7" i="9" s="1"/>
  <c r="B80" i="1" s="1"/>
  <c r="G19" i="9"/>
  <c r="H19" i="9" s="1"/>
  <c r="B92" i="1" s="1"/>
  <c r="G23" i="9"/>
  <c r="H23" i="9" s="1"/>
  <c r="B96" i="1" s="1"/>
  <c r="G20" i="9"/>
  <c r="H20" i="9" s="1"/>
  <c r="B93" i="1" s="1"/>
  <c r="G10" i="9"/>
  <c r="H10" i="9" s="1"/>
  <c r="B83" i="1" s="1"/>
  <c r="G47" i="9"/>
  <c r="H47" i="9" s="1"/>
  <c r="B118" i="1" s="1"/>
  <c r="G39" i="9"/>
  <c r="H39" i="9" s="1"/>
  <c r="B111" i="1" s="1"/>
  <c r="G18" i="9"/>
  <c r="H18" i="9" s="1"/>
  <c r="B91" i="1" s="1"/>
  <c r="G6" i="9"/>
  <c r="H6" i="9" s="1"/>
  <c r="B79" i="1" s="1"/>
  <c r="G15" i="9"/>
  <c r="H15" i="9" s="1"/>
  <c r="B88" i="1" s="1"/>
  <c r="G11" i="9"/>
  <c r="H11" i="9" s="1"/>
  <c r="B84" i="1" s="1"/>
  <c r="G33" i="9"/>
  <c r="H33" i="9" s="1"/>
  <c r="B105" i="1" s="1"/>
  <c r="R7" i="1" l="1"/>
  <c r="CM6" i="1"/>
  <c r="BC6" i="1"/>
  <c r="BX7" i="1"/>
  <c r="AM7" i="1"/>
  <c r="CM7" i="1"/>
  <c r="BX6" i="1"/>
  <c r="R6" i="1"/>
  <c r="B74" i="1"/>
  <c r="AM6" i="1"/>
  <c r="BC7" i="1"/>
</calcChain>
</file>

<file path=xl/sharedStrings.xml><?xml version="1.0" encoding="utf-8"?>
<sst xmlns="http://schemas.openxmlformats.org/spreadsheetml/2006/main" count="3681" uniqueCount="1458">
  <si>
    <t>A01. Bauherrschaft</t>
  </si>
  <si>
    <t>Bauherrschaft</t>
  </si>
  <si>
    <t>Ansprechperson/Kontaktperson</t>
  </si>
  <si>
    <t>A02. Projektverantwortlicher</t>
  </si>
  <si>
    <t>Verantwortlich für vorliegende Projektangaben</t>
  </si>
  <si>
    <t>Strasse</t>
  </si>
  <si>
    <t>Anlagenbeschreibung</t>
  </si>
  <si>
    <t>Name</t>
  </si>
  <si>
    <t>Langmauerstrasse 109</t>
  </si>
  <si>
    <t>8006 Zürich</t>
  </si>
  <si>
    <t>Unterschrift</t>
  </si>
  <si>
    <t>Funktion</t>
  </si>
  <si>
    <t>Telefon</t>
  </si>
  <si>
    <t>Planer</t>
  </si>
  <si>
    <t>A04. Beurteilung und Empfehlung der Prüfstelle QMmini</t>
  </si>
  <si>
    <t>Installateur</t>
  </si>
  <si>
    <t>Architekt</t>
  </si>
  <si>
    <t>Bauherr</t>
  </si>
  <si>
    <t>044 377 70 73</t>
  </si>
  <si>
    <t xml:space="preserve"> </t>
  </si>
  <si>
    <t>Projektformular QMmini</t>
  </si>
  <si>
    <t>Leistungsreserve</t>
  </si>
  <si>
    <t>Dimensionierung des Holzkessels</t>
  </si>
  <si>
    <t>Wärmenetz</t>
  </si>
  <si>
    <t>Anschlussdichte</t>
  </si>
  <si>
    <t>Ganzjahresbetrieb</t>
  </si>
  <si>
    <t>Speicher</t>
  </si>
  <si>
    <t>Empfehlung Brennstofflager erfüllt?</t>
  </si>
  <si>
    <t>Verpflichtungen des Projektverantwortlichen</t>
  </si>
  <si>
    <t>Situationserfassung der Abnehmer</t>
  </si>
  <si>
    <t>A03. Ergebnis der Plausibilitätsprüfun durch QMmini</t>
  </si>
  <si>
    <t>Deutsch</t>
  </si>
  <si>
    <t>Français</t>
  </si>
  <si>
    <t>English</t>
  </si>
  <si>
    <t>Neu2</t>
  </si>
  <si>
    <t>Neu3</t>
  </si>
  <si>
    <t>Neu4</t>
  </si>
  <si>
    <t>Sprache</t>
  </si>
  <si>
    <t>Französisch</t>
  </si>
  <si>
    <t>Bestätigung des Projektverantwortlichen</t>
  </si>
  <si>
    <t>PLZ, Ort</t>
  </si>
  <si>
    <t>E-Mail</t>
  </si>
  <si>
    <t>Prüfstelle</t>
  </si>
  <si>
    <t>044 377 70 72</t>
  </si>
  <si>
    <t>Prüfstelle QMmini, c/o Verenum AG, Stefan Thalmann</t>
  </si>
  <si>
    <t>Prüfstelle QMmini, c/o Verenum AG, Jürgen Good</t>
  </si>
  <si>
    <t>Prüfstelle QMmini, c/o Verenum AG, Peter Zotter</t>
  </si>
  <si>
    <t>Seite 1</t>
  </si>
  <si>
    <t>Sonstige:</t>
  </si>
  <si>
    <t>Abschnitt</t>
  </si>
  <si>
    <t>Seite</t>
  </si>
  <si>
    <t>A01</t>
  </si>
  <si>
    <t>A03</t>
  </si>
  <si>
    <t>A04</t>
  </si>
  <si>
    <t>A02</t>
  </si>
  <si>
    <t>Kennzahlen sind im plausiblen Bereich</t>
  </si>
  <si>
    <t>Reserve in Ordnung</t>
  </si>
  <si>
    <t>Reserve &gt; 30%</t>
  </si>
  <si>
    <t>Dimensionierung i.O.</t>
  </si>
  <si>
    <t>Kessel überdimensioniert</t>
  </si>
  <si>
    <t>Kessel zu klein</t>
  </si>
  <si>
    <t>∆T Vorlauf-Rücklauf i.O.</t>
  </si>
  <si>
    <t>∆T Vorlauf-Rücklauf zu klein</t>
  </si>
  <si>
    <t>Kein Wärmenetz</t>
  </si>
  <si>
    <t>Anschlussdichte i.O.</t>
  </si>
  <si>
    <t>Anschlussdichte zu tief</t>
  </si>
  <si>
    <t>Ganzjahresbetrieb mit Schwachlastbedingung erfüllt</t>
  </si>
  <si>
    <t>Ganzjahresbetrieb mit Schwachlastbedingung nicht erfüllt</t>
  </si>
  <si>
    <t>Speichervolumen i.O.</t>
  </si>
  <si>
    <t>Speicher zu klein</t>
  </si>
  <si>
    <t>Brennstofflager zu klein</t>
  </si>
  <si>
    <t>Seite 2</t>
  </si>
  <si>
    <t>A05. Angaben zum Projekt</t>
  </si>
  <si>
    <t>A06. Geplante Kosten (in CHF exkl. MwSt.)</t>
  </si>
  <si>
    <t>A07. Technische Daten</t>
  </si>
  <si>
    <t>geplanter Baubeginn</t>
  </si>
  <si>
    <t>Klimaregion</t>
  </si>
  <si>
    <t>Heizgradtage</t>
  </si>
  <si>
    <t>Kanton</t>
  </si>
  <si>
    <t>Mittelland</t>
  </si>
  <si>
    <t>Bergregion</t>
  </si>
  <si>
    <t>Südschweiz</t>
  </si>
  <si>
    <t>Heizungstechnikinstallation</t>
  </si>
  <si>
    <t>Elektroinstallation</t>
  </si>
  <si>
    <t>Planung</t>
  </si>
  <si>
    <t>Sonstiges</t>
  </si>
  <si>
    <t>Gesamt-Investitionskosten</t>
  </si>
  <si>
    <t>Kesselkonfiguration</t>
  </si>
  <si>
    <t>Brennstoffauswahl</t>
  </si>
  <si>
    <t>Ja</t>
  </si>
  <si>
    <t>Nein</t>
  </si>
  <si>
    <t>Einkesselanlage</t>
  </si>
  <si>
    <t>Mehrkesselanlage</t>
  </si>
  <si>
    <t>Pellets</t>
  </si>
  <si>
    <t>Betriebsstunden</t>
  </si>
  <si>
    <t>Stunden</t>
  </si>
  <si>
    <t>(Grabungsarbeiten, Rohrleitungen und Übergabestationen)</t>
  </si>
  <si>
    <t>(Heizhaus und Brennstofflager)</t>
  </si>
  <si>
    <t>(inkl. Beschickung, Rauchgasreinigung, Mess- und Regelungstechnik und Kamin)</t>
  </si>
  <si>
    <t>Italiano</t>
  </si>
  <si>
    <t>Sprache / Langue / Lingua / Language</t>
  </si>
  <si>
    <t>A05</t>
  </si>
  <si>
    <t>voraussichtliche Vollinbetriebnahme</t>
  </si>
  <si>
    <t>A06</t>
  </si>
  <si>
    <t>A07</t>
  </si>
  <si>
    <t>Seite 3</t>
  </si>
  <si>
    <t>Objekt</t>
  </si>
  <si>
    <t>Gebäude- bzw. Nutzungsart</t>
  </si>
  <si>
    <t>Wärmedämmung</t>
  </si>
  <si>
    <t>Gebäude- bzw.</t>
  </si>
  <si>
    <t>Nutzungsart</t>
  </si>
  <si>
    <t>Ja/Nein</t>
  </si>
  <si>
    <t>kW</t>
  </si>
  <si>
    <t>Leistung</t>
  </si>
  <si>
    <t>Energiebezugsfläche</t>
  </si>
  <si>
    <t xml:space="preserve">Nutzenergie </t>
  </si>
  <si>
    <t>kWh/a</t>
  </si>
  <si>
    <t xml:space="preserve">davon WW </t>
  </si>
  <si>
    <t>Summe</t>
  </si>
  <si>
    <t>Wohnen mit WW</t>
  </si>
  <si>
    <t>Wohnen o. WW</t>
  </si>
  <si>
    <t>Schule o. WW</t>
  </si>
  <si>
    <t>Verwaltung o. WW</t>
  </si>
  <si>
    <t>WW separat</t>
  </si>
  <si>
    <t>wenig</t>
  </si>
  <si>
    <t>gut</t>
  </si>
  <si>
    <t>sehr gut</t>
  </si>
  <si>
    <t>Reserve:</t>
  </si>
  <si>
    <t>Gesamtsumme</t>
  </si>
  <si>
    <t>A08. Situationserfassung</t>
  </si>
  <si>
    <t>A09. Berechnete Kennzahlen und Richtwerte</t>
  </si>
  <si>
    <t>Berechnete Kennzahlen</t>
  </si>
  <si>
    <r>
      <t>kWh/(m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a)</t>
    </r>
  </si>
  <si>
    <r>
      <t>W/m</t>
    </r>
    <r>
      <rPr>
        <vertAlign val="superscript"/>
        <sz val="7"/>
        <color theme="1"/>
        <rFont val="Arial"/>
        <family val="2"/>
      </rPr>
      <t>2</t>
    </r>
  </si>
  <si>
    <t>stundenzahl</t>
  </si>
  <si>
    <t>Vollbetriebs-</t>
  </si>
  <si>
    <t>Richtwerte gemäss Tabelle</t>
  </si>
  <si>
    <t>dämmung</t>
  </si>
  <si>
    <t>Wärme-</t>
  </si>
  <si>
    <t>Kontrolle</t>
  </si>
  <si>
    <t>A08</t>
  </si>
  <si>
    <t>Nr.</t>
  </si>
  <si>
    <t>Abnehmer</t>
  </si>
  <si>
    <t>Am Netz</t>
  </si>
  <si>
    <t>Nutzenergie</t>
  </si>
  <si>
    <t>davon WW</t>
  </si>
  <si>
    <t>A09</t>
  </si>
  <si>
    <t>Seite 4</t>
  </si>
  <si>
    <t>A10. Wärmenetz</t>
  </si>
  <si>
    <t>Trassenlänge Netz</t>
  </si>
  <si>
    <t>(=Grabenlänge)</t>
  </si>
  <si>
    <t>Temperaturen Netz, °C</t>
  </si>
  <si>
    <t>A11. Angaben zur Kesselanlage</t>
  </si>
  <si>
    <t>A12. Systemwahl QMmini</t>
  </si>
  <si>
    <t>Bauliche Massnahmen</t>
  </si>
  <si>
    <t>Nennleistung</t>
  </si>
  <si>
    <t>Minimalleistung</t>
  </si>
  <si>
    <t>Kessel 1</t>
  </si>
  <si>
    <t>weitere Kessel - Summe der Nennleistungen</t>
  </si>
  <si>
    <t>Typenbezeichnung</t>
  </si>
  <si>
    <t>Hersteller / Lieferant</t>
  </si>
  <si>
    <t>jährl. Brennstoffbedarf</t>
  </si>
  <si>
    <t>Minimalleistung (kleinster Kessel)</t>
  </si>
  <si>
    <t>Gesamte Kesselnennleistung</t>
  </si>
  <si>
    <t>Dimensionierung Kessel</t>
  </si>
  <si>
    <t>Verpflichtung des Projektverantwortlichen:</t>
  </si>
  <si>
    <t>Benötigte Leistung im Schwachlastbetrieb</t>
  </si>
  <si>
    <t>Anteil an der Kesselnennleistung</t>
  </si>
  <si>
    <t>Minimalwert</t>
  </si>
  <si>
    <t>Auslegung Kesselkreis und Speicher</t>
  </si>
  <si>
    <t>Berechnung Brennstofflager</t>
  </si>
  <si>
    <t>Inhalt netto</t>
  </si>
  <si>
    <t>Energieinhalt</t>
  </si>
  <si>
    <t>Abdeckung Vollastbedarf</t>
  </si>
  <si>
    <t>Empfehlung Brennstofflager erfüllt</t>
  </si>
  <si>
    <t>°C</t>
  </si>
  <si>
    <t>Vorlauf-Temperatur</t>
  </si>
  <si>
    <t>max. Rücklauf-Temperatur</t>
  </si>
  <si>
    <t>Geplantes Speichervolumen</t>
  </si>
  <si>
    <r>
      <t>m</t>
    </r>
    <r>
      <rPr>
        <vertAlign val="superscript"/>
        <sz val="8"/>
        <color theme="1"/>
        <rFont val="Arial"/>
        <family val="2"/>
      </rPr>
      <t>3</t>
    </r>
  </si>
  <si>
    <t>Minimales Speichervolumen nach QMH</t>
  </si>
  <si>
    <t>Minimales Speichervolumen nach LRV</t>
  </si>
  <si>
    <t>Tage</t>
  </si>
  <si>
    <t>Brennstofflager grösser als Jahresbedarf</t>
  </si>
  <si>
    <t>Kesseldimensionierung</t>
  </si>
  <si>
    <t>%</t>
  </si>
  <si>
    <t>Überdimensioniert</t>
  </si>
  <si>
    <t>Zu klein</t>
  </si>
  <si>
    <t>In Ordnung</t>
  </si>
  <si>
    <t>m</t>
  </si>
  <si>
    <t>MWh/a</t>
  </si>
  <si>
    <t>MWh/(a m)</t>
  </si>
  <si>
    <t>VL</t>
  </si>
  <si>
    <t>RL</t>
  </si>
  <si>
    <t>Warnungen Wärmenetz:</t>
  </si>
  <si>
    <t>ΔT</t>
  </si>
  <si>
    <t>A10</t>
  </si>
  <si>
    <t>Begründung:</t>
  </si>
  <si>
    <t>über Netz</t>
  </si>
  <si>
    <t>Verluste Wärmeverteilung</t>
  </si>
  <si>
    <t>A11</t>
  </si>
  <si>
    <t>Lieferant und Kesseltyp bekannt?</t>
  </si>
  <si>
    <t>A12</t>
  </si>
  <si>
    <t>kg/a</t>
  </si>
  <si>
    <t>Srm/a</t>
  </si>
  <si>
    <t>Englisch</t>
  </si>
  <si>
    <t>Italiensich</t>
  </si>
  <si>
    <t>(Zürich)</t>
  </si>
  <si>
    <t>(Engelberg)</t>
  </si>
  <si>
    <t>(Locarno)</t>
  </si>
  <si>
    <t>Heizgrenze</t>
  </si>
  <si>
    <t>h/a</t>
  </si>
  <si>
    <t>kWh/(m2a)</t>
  </si>
  <si>
    <t>W/m2</t>
  </si>
  <si>
    <t>Wohnen ohne WW</t>
  </si>
  <si>
    <t>Schule und Verwaltung ohne WW</t>
  </si>
  <si>
    <t>200...600 m.ü.M.</t>
  </si>
  <si>
    <t>800..1200 m.ü.M.</t>
  </si>
  <si>
    <t>350...800 m.ü.M.</t>
  </si>
  <si>
    <t>WmWW</t>
  </si>
  <si>
    <t>WoWW</t>
  </si>
  <si>
    <t>SVoWW</t>
  </si>
  <si>
    <t>Unten</t>
  </si>
  <si>
    <t>Oben</t>
  </si>
  <si>
    <t>Grenzwerte</t>
  </si>
  <si>
    <r>
      <t>kWh/(m</t>
    </r>
    <r>
      <rPr>
        <vertAlign val="superscript"/>
        <sz val="8"/>
        <color rgb="FF00B050"/>
        <rFont val="Arial"/>
        <family val="2"/>
      </rPr>
      <t>2</t>
    </r>
    <r>
      <rPr>
        <sz val="8"/>
        <color rgb="FF00B050"/>
        <rFont val="Arial"/>
        <family val="2"/>
      </rPr>
      <t xml:space="preserve"> a)</t>
    </r>
  </si>
  <si>
    <r>
      <t>W/m</t>
    </r>
    <r>
      <rPr>
        <vertAlign val="superscript"/>
        <sz val="8"/>
        <color rgb="FF00B050"/>
        <rFont val="Arial"/>
        <family val="2"/>
      </rPr>
      <t>2</t>
    </r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</si>
  <si>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</si>
  <si>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Neubau</t>
  </si>
  <si>
    <t>Bestand</t>
  </si>
  <si>
    <t>Bestand / Neubau</t>
  </si>
  <si>
    <t>Beurteilung Schwachlastbetrieb</t>
  </si>
  <si>
    <t>Mittelland VBZ</t>
  </si>
  <si>
    <t>Mittelland Energie</t>
  </si>
  <si>
    <t>Mittelland Leistung</t>
  </si>
  <si>
    <t>Bergregion VBZ</t>
  </si>
  <si>
    <t>Bergregion Energie</t>
  </si>
  <si>
    <t>Bergregion Leistung</t>
  </si>
  <si>
    <t>Südschweiz VBZ</t>
  </si>
  <si>
    <t>Südschweiz Energie</t>
  </si>
  <si>
    <t>Südschweiz Leistung</t>
  </si>
  <si>
    <t>WmWW 15</t>
  </si>
  <si>
    <t>WmWW 13</t>
  </si>
  <si>
    <t>WmWW 11</t>
  </si>
  <si>
    <t>WoWW 15</t>
  </si>
  <si>
    <t>WoWW 13</t>
  </si>
  <si>
    <t>WoWW 11</t>
  </si>
  <si>
    <t>SVoWW 15</t>
  </si>
  <si>
    <t>SVoWW 13</t>
  </si>
  <si>
    <t>SVoWW 11</t>
  </si>
  <si>
    <t>Suchkriterium</t>
  </si>
  <si>
    <t>VBZ berechnet</t>
  </si>
  <si>
    <r>
      <t>kWh/(m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a)</t>
    </r>
  </si>
  <si>
    <r>
      <t>W/m</t>
    </r>
    <r>
      <rPr>
        <vertAlign val="superscript"/>
        <sz val="8"/>
        <rFont val="Arial"/>
        <family val="2"/>
      </rPr>
      <t>2</t>
    </r>
  </si>
  <si>
    <t>Check</t>
  </si>
  <si>
    <t>Angaben für Kontrolle</t>
  </si>
  <si>
    <t>Overall</t>
  </si>
  <si>
    <t>WmWW 15 up</t>
  </si>
  <si>
    <t>WmWW 13 up</t>
  </si>
  <si>
    <t>GW oben</t>
  </si>
  <si>
    <t>WmWW 11 up</t>
  </si>
  <si>
    <t>WoWW 15 up</t>
  </si>
  <si>
    <t>WoWW 13 up</t>
  </si>
  <si>
    <t>WoWW 11 up</t>
  </si>
  <si>
    <t>SVoWW 15 up</t>
  </si>
  <si>
    <t>SVoWW 13 up</t>
  </si>
  <si>
    <t>SVoWW 11 up</t>
  </si>
  <si>
    <t>spez. Energie</t>
  </si>
  <si>
    <t>spez. Leistung</t>
  </si>
  <si>
    <r>
      <t>kWh/(m</t>
    </r>
    <r>
      <rPr>
        <vertAlign val="superscript"/>
        <sz val="7"/>
        <color rgb="FF7030A0"/>
        <rFont val="Arial"/>
        <family val="2"/>
      </rPr>
      <t>2</t>
    </r>
    <r>
      <rPr>
        <sz val="7"/>
        <color rgb="FF7030A0"/>
        <rFont val="Arial"/>
        <family val="2"/>
      </rPr>
      <t xml:space="preserve"> a)</t>
    </r>
  </si>
  <si>
    <r>
      <t>W/m</t>
    </r>
    <r>
      <rPr>
        <vertAlign val="superscript"/>
        <sz val="7"/>
        <color rgb="FF7030A0"/>
        <rFont val="Arial"/>
        <family val="2"/>
      </rPr>
      <t>2</t>
    </r>
  </si>
  <si>
    <t>Werte für Anzeige Richtwerte</t>
  </si>
  <si>
    <t>Grundlagen für Berechnung</t>
  </si>
  <si>
    <t>Binominal-Koeffizienten</t>
  </si>
  <si>
    <t>Erneuerung Holzenergieanlagen</t>
  </si>
  <si>
    <t>QMmini 2.40</t>
  </si>
  <si>
    <t>Vergleich</t>
  </si>
  <si>
    <t>Heizperiode 2.40</t>
  </si>
  <si>
    <t>Ganzjahresbetrieb 2.40</t>
  </si>
  <si>
    <t>Verwendete Werte, basierend auf Tool Holzenergieanlagen</t>
  </si>
  <si>
    <t>QMmini 2.40 angepasst</t>
  </si>
  <si>
    <t>Heizperiode 2.40-2</t>
  </si>
  <si>
    <t>Ganzjahresbetrieb 2.40-2</t>
  </si>
  <si>
    <t>Seite 5</t>
  </si>
  <si>
    <t>A13. Hydraulikschema</t>
  </si>
  <si>
    <t>Allgemein</t>
  </si>
  <si>
    <t>Volumenstrom Kessel</t>
  </si>
  <si>
    <t>Bezeichnung</t>
  </si>
  <si>
    <t>Einheit</t>
  </si>
  <si>
    <t>Vorlauftemperatur</t>
  </si>
  <si>
    <t>Rücklauftemperatur</t>
  </si>
  <si>
    <r>
      <t>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/h</t>
    </r>
  </si>
  <si>
    <t>Kesseleintrittstemperatur (T1.1; T2.1)</t>
  </si>
  <si>
    <t>Kesselaustrittstemperatur  (T1.2; T2.2)</t>
  </si>
  <si>
    <t>Volumenstrom Total</t>
  </si>
  <si>
    <t>A13</t>
  </si>
  <si>
    <t>Anmerkungen:</t>
  </si>
  <si>
    <t>Kesselanlage</t>
  </si>
  <si>
    <t>Dropdown</t>
  </si>
  <si>
    <t>Kessel 2*</t>
  </si>
  <si>
    <t>Warnungen Wärmeverteilung</t>
  </si>
  <si>
    <t>Anschlussdichte erfüllt</t>
  </si>
  <si>
    <t>Zielwert Anschlussdichte</t>
  </si>
  <si>
    <t>DT erfüllt</t>
  </si>
  <si>
    <t>∆T zu klein!</t>
  </si>
  <si>
    <t>Anschlussdichte zu tief!</t>
  </si>
  <si>
    <t>Anschlussdichte zu tief und ∆T zu klein!</t>
  </si>
  <si>
    <t>Kein Speicher</t>
  </si>
  <si>
    <t>Der Projektverantwortliche verpflichtet sich mit dem Kessellieferanten die erforderliche Raumhöhe zu diskutieren.</t>
  </si>
  <si>
    <t>Zusätzlich verpflichtet er sich, den Hersteller/Lieferant über alle im Projektformular ausgewiesenen Abweichungen zu informieren.</t>
  </si>
  <si>
    <t>Die in Abschnitt A11 aufgeführten Verpflichtungen werden erfüllt.</t>
  </si>
  <si>
    <t>Begründung:</t>
  </si>
  <si>
    <t>Bei Pelletlager über 50 Kubikmeter sind zusätzliche Vorschriften der VKF zu beachten.</t>
  </si>
  <si>
    <t>Formulaire de projet QMmini</t>
  </si>
  <si>
    <t>Oui</t>
  </si>
  <si>
    <t>Non</t>
  </si>
  <si>
    <t>Si</t>
  </si>
  <si>
    <t>No</t>
  </si>
  <si>
    <t>Yes</t>
  </si>
  <si>
    <t>Page 1</t>
  </si>
  <si>
    <t>Page 2</t>
  </si>
  <si>
    <t>Maître d'ouvrage</t>
  </si>
  <si>
    <t>Rue</t>
  </si>
  <si>
    <t>NPA, Localité</t>
  </si>
  <si>
    <t>N° de téléphone</t>
  </si>
  <si>
    <t>A01. Maître d'ouvrage</t>
  </si>
  <si>
    <t>Fonction</t>
  </si>
  <si>
    <t>Concepteur</t>
  </si>
  <si>
    <t>Architecte</t>
  </si>
  <si>
    <t>Maître d’ouvrage</t>
  </si>
  <si>
    <t>Relevé de situation des consommateurs</t>
  </si>
  <si>
    <t>Réserve de puissance</t>
  </si>
  <si>
    <t>Dimensionnement de la chaudière à bois</t>
  </si>
  <si>
    <t>Densité de raccordement</t>
  </si>
  <si>
    <t>Exploitation toute l'année</t>
  </si>
  <si>
    <t>Accumulateur</t>
  </si>
  <si>
    <t>Engagements du responsable de projet</t>
  </si>
  <si>
    <t>Kennzahlen ausserhalb plausiblem Bereich</t>
  </si>
  <si>
    <t>Réserve OK</t>
  </si>
  <si>
    <t>Réserve &gt; 30%</t>
  </si>
  <si>
    <t>Dimensionnement OK</t>
  </si>
  <si>
    <t>Chaudière surdimensionnée</t>
  </si>
  <si>
    <t>Chaudière trop petite</t>
  </si>
  <si>
    <t>∆T départ-retour OK</t>
  </si>
  <si>
    <t>∆T départ-retour trop petit</t>
  </si>
  <si>
    <t>Densité de raccordement OK</t>
  </si>
  <si>
    <t>Volume d'accumulateur OK</t>
  </si>
  <si>
    <t>Accumulateur trop petit</t>
  </si>
  <si>
    <t>Pas d'accumulateur</t>
  </si>
  <si>
    <t>Signature</t>
  </si>
  <si>
    <t>Nom</t>
  </si>
  <si>
    <t>Page 3</t>
  </si>
  <si>
    <t>Début des travaux planifié</t>
  </si>
  <si>
    <t>Mise en service prévisionnelle</t>
  </si>
  <si>
    <t>Région climatique</t>
  </si>
  <si>
    <t>Plateau suisse</t>
  </si>
  <si>
    <t>Région de montagne</t>
  </si>
  <si>
    <t>Suisse méridionale</t>
  </si>
  <si>
    <t>Altitude (en m)</t>
  </si>
  <si>
    <t>Degrés-jours de chauffage</t>
  </si>
  <si>
    <t>A06. Coûts planifiés (en CHF hors TVA)</t>
  </si>
  <si>
    <t>Installation de chauffage</t>
  </si>
  <si>
    <t>Installation électrique</t>
  </si>
  <si>
    <t>Planification</t>
  </si>
  <si>
    <t>Divers</t>
  </si>
  <si>
    <t>Montant total de l'investissement</t>
  </si>
  <si>
    <t>Chaudière</t>
  </si>
  <si>
    <t>Oui/Non</t>
  </si>
  <si>
    <t>Heures de fonctionnement</t>
  </si>
  <si>
    <t xml:space="preserve">Configuration de chaudière </t>
  </si>
  <si>
    <t xml:space="preserve">Choix du combustible </t>
  </si>
  <si>
    <t>A07. Données techniques</t>
  </si>
  <si>
    <t>Installation à une chaudière</t>
  </si>
  <si>
    <t>Installation à plusieurs chaudières</t>
  </si>
  <si>
    <t>n°</t>
  </si>
  <si>
    <t>Objet</t>
  </si>
  <si>
    <t>A08. Relevé de situation</t>
  </si>
  <si>
    <t>Client</t>
  </si>
  <si>
    <t>Type de bâtiment</t>
  </si>
  <si>
    <t>ou d'utilisation</t>
  </si>
  <si>
    <t>ECS séparée</t>
  </si>
  <si>
    <t>Isolation</t>
  </si>
  <si>
    <t>thermique</t>
  </si>
  <si>
    <t>Au réseau</t>
  </si>
  <si>
    <t>Puissance</t>
  </si>
  <si>
    <t>Énergie utile</t>
  </si>
  <si>
    <t>dont ECS</t>
  </si>
  <si>
    <t>Total</t>
  </si>
  <si>
    <t>Déperditions du réseau de chaleur</t>
  </si>
  <si>
    <t>Montant total</t>
  </si>
  <si>
    <t>Heures de marche</t>
  </si>
  <si>
    <t>à pleine charge</t>
  </si>
  <si>
    <t>Page 4</t>
  </si>
  <si>
    <t>Longueur du tracé du réseau</t>
  </si>
  <si>
    <t>(=longueur des tranchées)</t>
  </si>
  <si>
    <t>Températures du réseau, °C</t>
  </si>
  <si>
    <t>Départ</t>
  </si>
  <si>
    <t>Retour</t>
  </si>
  <si>
    <t>Justification:</t>
  </si>
  <si>
    <t>via le réseau</t>
  </si>
  <si>
    <t xml:space="preserve">Densité de raccordement insuffisante et ∆T trop petit! </t>
  </si>
  <si>
    <t xml:space="preserve">Densité de raccordement insuffisante! </t>
  </si>
  <si>
    <t xml:space="preserve">∆T trop petit! </t>
  </si>
  <si>
    <t>Puissance nominale</t>
  </si>
  <si>
    <t>Chaudière 1</t>
  </si>
  <si>
    <t>Autres chaudières - Somme des puissances nominales</t>
  </si>
  <si>
    <t>Désignation de type</t>
  </si>
  <si>
    <t>A11. Informations sur la chaudière</t>
  </si>
  <si>
    <t>OK</t>
  </si>
  <si>
    <t>Puissance requise en fonctionnement à faible charge</t>
  </si>
  <si>
    <t>Pourcentage de la puissance nominale de la chaudière</t>
  </si>
  <si>
    <t>Dimensionnement du circuit de chaudière et de l'accumulateur</t>
  </si>
  <si>
    <t xml:space="preserve">Temp. départ </t>
  </si>
  <si>
    <t>Temp. max. retour</t>
  </si>
  <si>
    <t>Calcul de la capacité du stock de combustible</t>
  </si>
  <si>
    <t>Capacité nette</t>
  </si>
  <si>
    <t>Couverture des besoins à pleine charge</t>
  </si>
  <si>
    <t>A12. Choix du système QMmini</t>
  </si>
  <si>
    <t>Évaluation du fonctionnement à faible charge</t>
  </si>
  <si>
    <t>(8 % pour les pellets, 10 % pour les plaquettes)</t>
  </si>
  <si>
    <t>Jours</t>
  </si>
  <si>
    <t>Page 5</t>
  </si>
  <si>
    <t>A13. Schéma hydraulique</t>
  </si>
  <si>
    <t>Chaudière 2*</t>
  </si>
  <si>
    <t>Volume de l'accumulateur prévu</t>
  </si>
  <si>
    <t>Désignation</t>
  </si>
  <si>
    <t>Unité</t>
  </si>
  <si>
    <t>Généralités</t>
  </si>
  <si>
    <t>Débit volumique de la chaudière</t>
  </si>
  <si>
    <t>* S'il y a plus de 2 chaudières, la somme est calculée (puissance, débit, etc.)</t>
  </si>
  <si>
    <t>Débit volumique Total</t>
  </si>
  <si>
    <t>Les obligations énumérées à la section A11 sont remplies.</t>
  </si>
  <si>
    <t>LU</t>
  </si>
  <si>
    <t>Abschluss Phase 1: Projektformular</t>
  </si>
  <si>
    <t>Rechnung Phase 1</t>
  </si>
  <si>
    <t>Abschluss Phase 2: Abschlussmeldung</t>
  </si>
  <si>
    <t>Rechnung Phase 2</t>
  </si>
  <si>
    <t>Beitragszusicherung bis</t>
  </si>
  <si>
    <t>IBN erfolgt?</t>
  </si>
  <si>
    <t>Angefragt für Betriebsoptimierung</t>
  </si>
  <si>
    <t>Vorausichtlicher Abschluss Phase 2</t>
  </si>
  <si>
    <t>Check für Abschlussmeldung</t>
  </si>
  <si>
    <t>Fälligkeit Abschlussmeldung</t>
  </si>
  <si>
    <t>Abschlussmeldung Detaillierungsgrad</t>
  </si>
  <si>
    <t>Jahr Phase 1</t>
  </si>
  <si>
    <t>Jahr Phase 2</t>
  </si>
  <si>
    <t>vc</t>
  </si>
  <si>
    <t>QMmini_Version</t>
  </si>
  <si>
    <t>Check Kanton für die Auswertung Phase 1</t>
  </si>
  <si>
    <t>Check Kanton für die Auswertung Phase 2</t>
  </si>
  <si>
    <t>Ort der Anlage</t>
  </si>
  <si>
    <t>Prüfer</t>
  </si>
  <si>
    <t>Projektbezeichnung</t>
  </si>
  <si>
    <t>Ordner</t>
  </si>
  <si>
    <t>Förderentscheid</t>
  </si>
  <si>
    <t>A03. Ergebnis der Plausibilitätsprüfung durch QMmini</t>
  </si>
  <si>
    <t>Dimensionierung des Holzkessel</t>
  </si>
  <si>
    <t>Hydraulische Auslegung</t>
  </si>
  <si>
    <t>Verpflichtung des Projektverantwortlichen</t>
  </si>
  <si>
    <t>Datum Unterschrift</t>
  </si>
  <si>
    <t>Anmerkungen</t>
  </si>
  <si>
    <t>Empfehlung zur Förderung</t>
  </si>
  <si>
    <t>Auflagen</t>
  </si>
  <si>
    <t>Geplanter Baubeginn</t>
  </si>
  <si>
    <t>Voraussichtliche Vollinbetriebnahme</t>
  </si>
  <si>
    <t>Ort</t>
  </si>
  <si>
    <t>Höhe m ü.M.</t>
  </si>
  <si>
    <t>zusätzl. Förderung</t>
  </si>
  <si>
    <t>A06. Geplante Kosten</t>
  </si>
  <si>
    <t>Monov. Mit automat. Zündung?</t>
  </si>
  <si>
    <t>Brennstoff</t>
  </si>
  <si>
    <t>Solarthermische Anlage/n vorhanden</t>
  </si>
  <si>
    <t>Summe Wärmenetz_Leistung</t>
  </si>
  <si>
    <t>Summe Wärmenetz_Nutzenergie</t>
  </si>
  <si>
    <t>Summe Wärmenetz_davon WW</t>
  </si>
  <si>
    <t>Verluste Wärmenetz_Leistung</t>
  </si>
  <si>
    <t>Verluste Wärmenetz_Energie</t>
  </si>
  <si>
    <t>Reserve_kW</t>
  </si>
  <si>
    <t>Reserve_kWh</t>
  </si>
  <si>
    <t>Gesamtsumme_kW</t>
  </si>
  <si>
    <t>Gesamtsumme_kWh</t>
  </si>
  <si>
    <t>Trassenlänge</t>
  </si>
  <si>
    <t>Nutzenergie über Netz</t>
  </si>
  <si>
    <t>Verluste Netz</t>
  </si>
  <si>
    <t>Netz_Vorlauf</t>
  </si>
  <si>
    <t>Netz_Rücklauf</t>
  </si>
  <si>
    <t>Netz_dT</t>
  </si>
  <si>
    <t>Warnung</t>
  </si>
  <si>
    <t>Begründung</t>
  </si>
  <si>
    <t>max zul Kesselnennleistung</t>
  </si>
  <si>
    <t>Kessel 1 Nennleistung</t>
  </si>
  <si>
    <t>Kessel 1 Minimalleistung</t>
  </si>
  <si>
    <t>Weitere Kessel - Summe Nennleistungen</t>
  </si>
  <si>
    <t>vorgesehene gesamte Kesselnennleistung</t>
  </si>
  <si>
    <t>Hersteller/Lieferant</t>
  </si>
  <si>
    <t>Überdimensionierung Kessel</t>
  </si>
  <si>
    <t>Dimensionierung i.O.?</t>
  </si>
  <si>
    <t>Berechnung Ganzjahresbetrieb</t>
  </si>
  <si>
    <t>Ganzjahresbetrieb zulässig?</t>
  </si>
  <si>
    <t>VL-Temp</t>
  </si>
  <si>
    <t>max. RL-Temp</t>
  </si>
  <si>
    <t>Vol. min.</t>
  </si>
  <si>
    <t>Vol. ist</t>
  </si>
  <si>
    <t>Bedingung Speichervolumen?</t>
  </si>
  <si>
    <t>Energieinhalt Brennstoff</t>
  </si>
  <si>
    <t>Abdeckung Volllast</t>
  </si>
  <si>
    <t>Empfohlene Lagergrösse für Hackschnitzel</t>
  </si>
  <si>
    <t>T_VL</t>
  </si>
  <si>
    <t>T_RL</t>
  </si>
  <si>
    <t>V_Punkt</t>
  </si>
  <si>
    <t>TK_VL</t>
  </si>
  <si>
    <t>TK_EIN</t>
  </si>
  <si>
    <t>TRLH</t>
  </si>
  <si>
    <t>TK_RL</t>
  </si>
  <si>
    <t>Q_Max</t>
  </si>
  <si>
    <t>Q_Min</t>
  </si>
  <si>
    <t>V_punkt_K</t>
  </si>
  <si>
    <t>Verpflichtung</t>
  </si>
  <si>
    <t>Warnungen</t>
  </si>
  <si>
    <t>Auflage 1</t>
  </si>
  <si>
    <t>Auflage 2</t>
  </si>
  <si>
    <t>Auflage 3</t>
  </si>
  <si>
    <t>Auflage 4</t>
  </si>
  <si>
    <t>Auflage 5</t>
  </si>
  <si>
    <t>Berechnungen</t>
  </si>
  <si>
    <t>Vollbetriebs- stundenzahl Einkessel</t>
  </si>
  <si>
    <t>Vollbetriebs- stundenzahl Mehrkessel</t>
  </si>
  <si>
    <t>min. Leistung zu Gesamt Leistung, Einkessel</t>
  </si>
  <si>
    <t>min. Leistung zu Gesamt Leistung, Mehrkessel</t>
  </si>
  <si>
    <t>Bedingung Speicher-Vol. erfüllt ?</t>
  </si>
  <si>
    <t>Unterdimensionierte Speicher</t>
  </si>
  <si>
    <t>Abweichung VBZ Planwert zum Istwert</t>
  </si>
  <si>
    <t>Investitionskosten Wärmeerzeugung</t>
  </si>
  <si>
    <t>Gesamte-Kesselnennleistung</t>
  </si>
  <si>
    <t>spez. Investitionskosten Kesselanlage</t>
  </si>
  <si>
    <t>spez. Investitionskosten Wärmeerzeugung</t>
  </si>
  <si>
    <t>Gesamt Wärmeleistungsbedarf Wärmerzeugung</t>
  </si>
  <si>
    <t>Dauer Phase 1 bis Phase 2</t>
  </si>
  <si>
    <t>Abschlussmeldung QMmini</t>
  </si>
  <si>
    <t>A03. Eingereichte Unterlagen/Daten nach erstem Betriebsjahr</t>
  </si>
  <si>
    <t>Produktion Holzkessel gemäss Wärmezähler</t>
  </si>
  <si>
    <t>Produktion Holzkessel gemäss Projektformular</t>
  </si>
  <si>
    <t>Nennleistung Holzkessel</t>
  </si>
  <si>
    <t>Nennleistung Holzkessel gemäss Projektformular</t>
  </si>
  <si>
    <t>Brennstoffverbrauch</t>
  </si>
  <si>
    <t xml:space="preserve">       Kessel 1</t>
  </si>
  <si>
    <t xml:space="preserve">       Kessel 2</t>
  </si>
  <si>
    <t>Betriebsstunden Holzkessel (gesamt)</t>
  </si>
  <si>
    <t>Anzahl Zündvorgänge</t>
  </si>
  <si>
    <t>Foto der Anlage</t>
  </si>
  <si>
    <t>Amtlicher Messbericht</t>
  </si>
  <si>
    <t>Aufzeichnung Betriebsdaten</t>
  </si>
  <si>
    <t>Tagesverlauf (24h)</t>
  </si>
  <si>
    <t>Kalte Witterung</t>
  </si>
  <si>
    <t>Übergangszeit</t>
  </si>
  <si>
    <t>Sommer</t>
  </si>
  <si>
    <t>A04. Ergebnis der Schlussprüfung</t>
  </si>
  <si>
    <t>Abweichung Wärmemenge</t>
  </si>
  <si>
    <t>Abweichung Nennleistung Holzkessel</t>
  </si>
  <si>
    <t>Vollbetriebsstundenzahl Holzkessel</t>
  </si>
  <si>
    <t>Regelung Stabil</t>
  </si>
  <si>
    <t>Abnahmemessung erfüllt</t>
  </si>
  <si>
    <t>A04. Beurteilung und Empfehlung</t>
  </si>
  <si>
    <t>Empfehlungen</t>
  </si>
  <si>
    <t>Empfehlung 1</t>
  </si>
  <si>
    <t>Empfehlung 2</t>
  </si>
  <si>
    <t>Empfehlung 3</t>
  </si>
  <si>
    <t>Empfehlung 4</t>
  </si>
  <si>
    <t>Empfehlung 5</t>
  </si>
  <si>
    <t xml:space="preserve">Kanton 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</si>
  <si>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</si>
  <si>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</si>
  <si>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</si>
  <si>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</si>
  <si>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</si>
  <si>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</si>
  <si>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</si>
  <si>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</si>
  <si>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</si>
  <si>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</si>
  <si>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</si>
  <si>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</si>
  <si>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</si>
  <si>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</si>
  <si>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</si>
  <si>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</si>
  <si>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</si>
  <si>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</si>
  <si>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</si>
  <si>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</si>
  <si>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</si>
  <si>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</si>
  <si>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</si>
  <si>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</si>
  <si>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</si>
  <si>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</si>
  <si>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 xml:space="preserve">Canton </t>
  </si>
  <si>
    <t>Argovie</t>
  </si>
  <si>
    <t>Appenzell Rhodes-Extérieures</t>
  </si>
  <si>
    <t>Appenzell Rhodes-Intérieures</t>
  </si>
  <si>
    <t>Bâle-Campagne</t>
  </si>
  <si>
    <t>Berne</t>
  </si>
  <si>
    <t>Fribourg</t>
  </si>
  <si>
    <t>Genève</t>
  </si>
  <si>
    <t>Grisons</t>
  </si>
  <si>
    <t>Lucerne</t>
  </si>
  <si>
    <t>Neuchâtel</t>
  </si>
  <si>
    <t>Obwald</t>
  </si>
  <si>
    <t>Schaffhouse</t>
  </si>
  <si>
    <t>Soleure</t>
  </si>
  <si>
    <t>Saint-Gall</t>
  </si>
  <si>
    <t>Thurgovie</t>
  </si>
  <si>
    <t>Vaud</t>
  </si>
  <si>
    <t>Valais</t>
  </si>
  <si>
    <t>Zurich</t>
  </si>
  <si>
    <t xml:space="preserve">Cantone </t>
  </si>
  <si>
    <t>Argovia</t>
  </si>
  <si>
    <t>Basilea-Campagna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</si>
  <si>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</si>
  <si>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</si>
  <si>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</si>
  <si>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</si>
  <si>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</si>
  <si>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</si>
  <si>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</si>
  <si>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</si>
  <si>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</si>
  <si>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</si>
  <si>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</si>
  <si>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</si>
  <si>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</si>
  <si>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</si>
  <si>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</si>
  <si>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</si>
  <si>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Vallese</t>
  </si>
  <si>
    <t>Zurigo</t>
  </si>
  <si>
    <t>Appenzell Outer Rhodes</t>
  </si>
  <si>
    <t>Appenzell Inner Rhodes</t>
  </si>
  <si>
    <t>Basel-Land</t>
  </si>
  <si>
    <t>Basel-City</t>
  </si>
  <si>
    <t>Geneva</t>
  </si>
  <si>
    <t>Zoug</t>
  </si>
  <si>
    <t>Zugo</t>
  </si>
  <si>
    <t>AG</t>
  </si>
  <si>
    <t>GR</t>
  </si>
  <si>
    <t>NE</t>
  </si>
  <si>
    <t>NW</t>
  </si>
  <si>
    <t>SO</t>
  </si>
  <si>
    <t>AR</t>
  </si>
  <si>
    <t>BS</t>
  </si>
  <si>
    <t>BE</t>
  </si>
  <si>
    <t>FR</t>
  </si>
  <si>
    <t>GE</t>
  </si>
  <si>
    <t>GL</t>
  </si>
  <si>
    <t>JU</t>
  </si>
  <si>
    <t>OW</t>
  </si>
  <si>
    <t>SH</t>
  </si>
  <si>
    <t>UR</t>
  </si>
  <si>
    <t>SG</t>
  </si>
  <si>
    <t>TI</t>
  </si>
  <si>
    <t>TG</t>
  </si>
  <si>
    <t>VS</t>
  </si>
  <si>
    <t>VD</t>
  </si>
  <si>
    <t>ZG</t>
  </si>
  <si>
    <t>ZH</t>
  </si>
  <si>
    <t>SZ</t>
  </si>
  <si>
    <t>Brennstofflager entspricht empfohlener Grösse für Pellets</t>
  </si>
  <si>
    <t>§§§</t>
  </si>
  <si>
    <t>Über- oder Unterdimensionierung</t>
  </si>
  <si>
    <t>i.O. für Pellets, für Holzhackschnitzel über empfohlener Grösse</t>
  </si>
  <si>
    <t>Empfohlene Lagergrösse für Holzhackschnitzel</t>
  </si>
  <si>
    <t>Brennstofflager grösser als Empfehlung für Holzhackschnitzel</t>
  </si>
  <si>
    <t>Brennstofflager entspricht empfohlener Grösse für Holzhackschnitzel</t>
  </si>
  <si>
    <t>Holzhackschnitzel, ganzjährig M &lt; 35%</t>
  </si>
  <si>
    <t>Plaquettes, toute l'année M &lt; 35%</t>
  </si>
  <si>
    <t>Förderung</t>
  </si>
  <si>
    <t>sind für Seriengeräte nicht geeignet.</t>
  </si>
  <si>
    <t>Förderung durch:</t>
  </si>
  <si>
    <t>Energie Zukunft Schweiz</t>
  </si>
  <si>
    <t>** Bei den Kesseln ist ein Bypass zu empfehlen (siehe Standard-Schaltung Teil I bei WE 2 oder WE 6).</t>
  </si>
  <si>
    <t>Formulario di progetto QMmini</t>
  </si>
  <si>
    <t>Pagina 1</t>
  </si>
  <si>
    <t>Committente</t>
  </si>
  <si>
    <t>Persona di contatto</t>
  </si>
  <si>
    <t>Indirizzo</t>
  </si>
  <si>
    <t>NAP, Luogo</t>
  </si>
  <si>
    <t>Telefono</t>
  </si>
  <si>
    <t>A01. Committente</t>
  </si>
  <si>
    <t>Responsabile per i presenti dati di progetto</t>
  </si>
  <si>
    <t>Funzione</t>
  </si>
  <si>
    <t>A02. Responsabile di progetto</t>
  </si>
  <si>
    <t>Progettista</t>
  </si>
  <si>
    <t>Installatore</t>
  </si>
  <si>
    <t>Architetto</t>
  </si>
  <si>
    <t>Altro</t>
  </si>
  <si>
    <t>Altro:</t>
  </si>
  <si>
    <t>Denominazione dell'impianto</t>
  </si>
  <si>
    <t>Rilievo della situazione degli utenti</t>
  </si>
  <si>
    <t>Riserva di potenza</t>
  </si>
  <si>
    <t>Dimensionamento della caldaia a legna</t>
  </si>
  <si>
    <t>Rete di teleriscaldamento</t>
  </si>
  <si>
    <t>Densità di allacciamento</t>
  </si>
  <si>
    <t>Esercizio tutto l'anno</t>
  </si>
  <si>
    <t>Accumulatore</t>
  </si>
  <si>
    <t>Impegni del responsabile di progetto</t>
  </si>
  <si>
    <t>Conferma del responsabile di progetto</t>
  </si>
  <si>
    <t>Firma</t>
  </si>
  <si>
    <t>A03. Risultati della verifica di plausibilità tramite QMmini</t>
  </si>
  <si>
    <t>Gli indicatori sono nella zona di plausibilità</t>
  </si>
  <si>
    <t>Indicatori al di fuori della zona di plausibilità</t>
  </si>
  <si>
    <t>Riserva OK</t>
  </si>
  <si>
    <t>Riserva &gt; 30%</t>
  </si>
  <si>
    <t>Dimensionamento OK</t>
  </si>
  <si>
    <t>Caldaia sovradimensionata</t>
  </si>
  <si>
    <t>Caldaia troppo piccola</t>
  </si>
  <si>
    <t>∆T mandata-ritorno OK</t>
  </si>
  <si>
    <t>∆T mandata-ritorno troppo piccola</t>
  </si>
  <si>
    <t>Nessuna rete di teleriscaldamento</t>
  </si>
  <si>
    <t>Densità di allacciamento OK</t>
  </si>
  <si>
    <t>Densità di allacciamento troppo bassa</t>
  </si>
  <si>
    <t>Volume accumulatore OK</t>
  </si>
  <si>
    <t>Volume accumulatore troppo piccolo</t>
  </si>
  <si>
    <t>Nessun accumulatore</t>
  </si>
  <si>
    <t>OK per pellet, volume superiore alle raccomandazione per cippato</t>
  </si>
  <si>
    <t>Gli obblighi elencati nella sezione A11 sono soddisfatti.</t>
  </si>
  <si>
    <t>Osservazioni</t>
  </si>
  <si>
    <t>Cognome</t>
  </si>
  <si>
    <t xml:space="preserve">Revisore </t>
  </si>
  <si>
    <t>Pagina 2</t>
  </si>
  <si>
    <t>Data prevista per inizio dei lavori</t>
  </si>
  <si>
    <t>Data prevista per messa in servizio completa</t>
  </si>
  <si>
    <t>A05. Informazioni sul progetto</t>
  </si>
  <si>
    <t>Regione climatica</t>
  </si>
  <si>
    <t>Regione di montagna</t>
  </si>
  <si>
    <t>Sud delle Alpi (Svizzera meridionale)</t>
  </si>
  <si>
    <t>Gradi-giorno di riscaldamento</t>
  </si>
  <si>
    <t>Altezza (m. s. m.)</t>
  </si>
  <si>
    <t>Sovvenzione da parte di:</t>
  </si>
  <si>
    <t>A06. Costi previsti (in CHF , IVA escl.)</t>
  </si>
  <si>
    <t>Impiantistica riscaldamento</t>
  </si>
  <si>
    <t>Impianti elettrici</t>
  </si>
  <si>
    <t>Progettazione</t>
  </si>
  <si>
    <t>Totale costi di investimento</t>
  </si>
  <si>
    <t>Caldaie</t>
  </si>
  <si>
    <t>Opere edili</t>
  </si>
  <si>
    <t>Dati tecnici</t>
  </si>
  <si>
    <t>Ore di funzionamento</t>
  </si>
  <si>
    <t xml:space="preserve">Scelta del combustibile: </t>
  </si>
  <si>
    <t>Configurazione caldaie</t>
  </si>
  <si>
    <t>Impianto con più caldaie</t>
  </si>
  <si>
    <t>Pellet</t>
  </si>
  <si>
    <t>Pagina 3</t>
  </si>
  <si>
    <t>No.</t>
  </si>
  <si>
    <t>Oggetto</t>
  </si>
  <si>
    <t>A08. Rilievo della situazione</t>
  </si>
  <si>
    <t>Pagina 4</t>
  </si>
  <si>
    <t>Utente</t>
  </si>
  <si>
    <t>Tipo di edificio</t>
  </si>
  <si>
    <t>risp. di destinazione</t>
  </si>
  <si>
    <t>Abitazione con a.c.s.</t>
  </si>
  <si>
    <t>Abitazione senza a.c.s.</t>
  </si>
  <si>
    <t>Scuola senza a.c.s.</t>
  </si>
  <si>
    <t>Amministrazione senza a.c.s.</t>
  </si>
  <si>
    <t>buono</t>
  </si>
  <si>
    <t>molto buono</t>
  </si>
  <si>
    <t>debole</t>
  </si>
  <si>
    <t>faible</t>
  </si>
  <si>
    <t>Perdite della rete</t>
  </si>
  <si>
    <t>Totale</t>
  </si>
  <si>
    <t>Isolamento</t>
  </si>
  <si>
    <t>termico</t>
  </si>
  <si>
    <t>In rete</t>
  </si>
  <si>
    <t>si / no</t>
  </si>
  <si>
    <t>Potenza</t>
  </si>
  <si>
    <t>Energia utile</t>
  </si>
  <si>
    <t>di cui a.c.s.</t>
  </si>
  <si>
    <t>Perdite della rete di teleriscaldamento</t>
  </si>
  <si>
    <t>Indicatori calcolati</t>
  </si>
  <si>
    <t>Valoro di riferimento sec. tabella</t>
  </si>
  <si>
    <t>A09. Indicatori calcolati e valori di riferimento</t>
  </si>
  <si>
    <t>a pieno carico</t>
  </si>
  <si>
    <t>Controllo</t>
  </si>
  <si>
    <t>Giustificazione:</t>
  </si>
  <si>
    <t>Temperature della rete, °C</t>
  </si>
  <si>
    <t>Mandata</t>
  </si>
  <si>
    <t>Ritorno</t>
  </si>
  <si>
    <t>Avvertimenti sulla rete di teleriscaldamento:</t>
  </si>
  <si>
    <t>A10. Rete di teleriscaldamento</t>
  </si>
  <si>
    <t>in rete</t>
  </si>
  <si>
    <t xml:space="preserve">∆T troppo piccolo! </t>
  </si>
  <si>
    <t>Fornitore e tipo di caldaia conosciuti ?</t>
  </si>
  <si>
    <t>Potenza nominale</t>
  </si>
  <si>
    <t>Potenza minima</t>
  </si>
  <si>
    <t>Caldaia 1</t>
  </si>
  <si>
    <t>Designazione del tipo</t>
  </si>
  <si>
    <t>Fabbricante / fornitore</t>
  </si>
  <si>
    <t>Fabbisogno annuo di combustibile</t>
  </si>
  <si>
    <t>A11. Informazioni sulla caldaia</t>
  </si>
  <si>
    <t>Potenza nominale totale</t>
  </si>
  <si>
    <t>Potenza minima (caldaia più piccola)</t>
  </si>
  <si>
    <t>Impegno del responsabile di progetto:</t>
  </si>
  <si>
    <t>Sovradimensionamento della caldaia</t>
  </si>
  <si>
    <t>Sovra o sottodimensionamento</t>
  </si>
  <si>
    <t>Calcolo per esercizio tutto l'anno</t>
  </si>
  <si>
    <t>Percentuale rispetto alla potenza nominale della caldaia</t>
  </si>
  <si>
    <t>Valore minimo</t>
  </si>
  <si>
    <t>Dimensionamento del circuito della caldaia e dell'accumulatore</t>
  </si>
  <si>
    <t>Temp. max ritorno</t>
  </si>
  <si>
    <t>Contenuto di energia</t>
  </si>
  <si>
    <t>Copertura fabbisogno a pieno carico</t>
  </si>
  <si>
    <t>A12. Scelta del sistema QMmini</t>
  </si>
  <si>
    <t>Volume minimo secondo il legno MQ</t>
  </si>
  <si>
    <t>Volume minimo secondo LRV</t>
  </si>
  <si>
    <t>Volume previsto dell'accumulatore</t>
  </si>
  <si>
    <t>Giorni</t>
  </si>
  <si>
    <t>Pagina 5</t>
  </si>
  <si>
    <t>A13. Schema idraulico</t>
  </si>
  <si>
    <t>Designazione</t>
  </si>
  <si>
    <t>Unità</t>
  </si>
  <si>
    <t>Caldaia 2*</t>
  </si>
  <si>
    <t>Generale</t>
  </si>
  <si>
    <t>Portata volumetrica della caldaia</t>
  </si>
  <si>
    <t>Temperatura di mandata della caldaia (T1.2; T2.2)</t>
  </si>
  <si>
    <t>Temperatura di ingresso della caldaia (T1.1; T2.1)</t>
  </si>
  <si>
    <t>Temperatura di mandata della rete</t>
  </si>
  <si>
    <t>Temperatura di ritorno della rete</t>
  </si>
  <si>
    <t>Portata volumetrica Totale</t>
  </si>
  <si>
    <t>Accumulare</t>
  </si>
  <si>
    <t>** Si raccomanda un bypass per le caldaie (vedi Soluzione Standard - Parte I per WE 2 o WE 6). Solo in tedesco e francese</t>
  </si>
  <si>
    <t>Kunde</t>
  </si>
  <si>
    <t>Lunghezza del tracciato della</t>
  </si>
  <si>
    <t>rete (=lunghezza degli scavi)</t>
  </si>
  <si>
    <t>Anschluss-</t>
  </si>
  <si>
    <t>dichte</t>
  </si>
  <si>
    <t>Densité de</t>
  </si>
  <si>
    <t>raccordement</t>
  </si>
  <si>
    <t>Densità di</t>
  </si>
  <si>
    <t>allacciamento</t>
  </si>
  <si>
    <t xml:space="preserve">(la plus petite chaudière) </t>
  </si>
  <si>
    <t xml:space="preserve">(la più piccola caldaia) </t>
  </si>
  <si>
    <t xml:space="preserve">(kleinster Kessel) </t>
  </si>
  <si>
    <t>(berechnet aus Gesamtsumme (A08) und zulässigem Überdimensionierungsfaktor von 20%)</t>
  </si>
  <si>
    <t>(calcolato dalla somma totale (A08) e dal fattore di sovradimensionamento consentito del 20%)</t>
  </si>
  <si>
    <t xml:space="preserve">Projekt Nummer: </t>
  </si>
  <si>
    <t>Numero del progetto:</t>
  </si>
  <si>
    <t>Elektroabscheider integriert</t>
  </si>
  <si>
    <t>Elektroabscheider separat</t>
  </si>
  <si>
    <t>Rauchgasreinigung</t>
  </si>
  <si>
    <t>Feinstaubabscheider</t>
  </si>
  <si>
    <t>Séparateur de particules fines</t>
  </si>
  <si>
    <t>kein Abscheider vorgesehen*</t>
  </si>
  <si>
    <t>Aucun séparateur n'est prévu*</t>
  </si>
  <si>
    <t>Holzhackschnitzel, tiefer Winter M &lt; 50%, sonst M &lt; 35%**</t>
  </si>
  <si>
    <t>Plaquettes, plein hiver M &lt; 50%, sinon M &lt; 35%**</t>
  </si>
  <si>
    <t>Cippato, pieno inverno M &lt; 50%, altrimenti M &lt; 35%**</t>
  </si>
  <si>
    <t>**Holzhackschnitzel mit Wassergehalt M &gt; 35% sind für Seriengeräte nicht geeignet.</t>
  </si>
  <si>
    <t>Street</t>
  </si>
  <si>
    <t>Phone</t>
  </si>
  <si>
    <t>Responsible for the project information provided</t>
  </si>
  <si>
    <t>Function</t>
  </si>
  <si>
    <t>Facility description</t>
  </si>
  <si>
    <t>Installer</t>
  </si>
  <si>
    <t>Architect</t>
  </si>
  <si>
    <t>Owner</t>
  </si>
  <si>
    <t>Other:</t>
  </si>
  <si>
    <t>A03 Result of the plausibility check by QMmini</t>
  </si>
  <si>
    <t>Assessment of the customers' situation</t>
  </si>
  <si>
    <t>Performance reserve</t>
  </si>
  <si>
    <t>Dimensioning of the wood boiler</t>
  </si>
  <si>
    <t>Heating network</t>
  </si>
  <si>
    <t>Connection density</t>
  </si>
  <si>
    <t>Year-round operation</t>
  </si>
  <si>
    <t>Obligations of the project manager</t>
  </si>
  <si>
    <t>Key figures are within the plausible range</t>
  </si>
  <si>
    <t>Key figures outside the plausible range</t>
  </si>
  <si>
    <t>Dimensioning OK</t>
  </si>
  <si>
    <t>Boiler oversized</t>
  </si>
  <si>
    <t>Boiler too small</t>
  </si>
  <si>
    <t>No heating network</t>
  </si>
  <si>
    <t>Year-round operation with low load condition fulfilled</t>
  </si>
  <si>
    <t>Year-round operation with low load condition not fulfilled</t>
  </si>
  <si>
    <t>The obligations set out in section A11 are met.</t>
  </si>
  <si>
    <t>Confirmation of the project manager</t>
  </si>
  <si>
    <t>Comments:</t>
  </si>
  <si>
    <t xml:space="preserve">Project number: </t>
  </si>
  <si>
    <t>A05. Details of the project</t>
  </si>
  <si>
    <t>Planned start of construction</t>
  </si>
  <si>
    <t>Climate region</t>
  </si>
  <si>
    <t>Central Plateau</t>
  </si>
  <si>
    <t>Mountain region</t>
  </si>
  <si>
    <t>Southern Switzerland</t>
  </si>
  <si>
    <t>Height (m above sea level)</t>
  </si>
  <si>
    <t>Heating degree days</t>
  </si>
  <si>
    <t>Funding by:</t>
  </si>
  <si>
    <t>Canton</t>
  </si>
  <si>
    <t>Boiler Plant</t>
  </si>
  <si>
    <t>Electrical installation</t>
  </si>
  <si>
    <t>Planning</t>
  </si>
  <si>
    <t>Miscellaneous</t>
  </si>
  <si>
    <t>(excavation work, pipelines and transfer stations)</t>
  </si>
  <si>
    <t>Total investment costs</t>
  </si>
  <si>
    <t>Boiler configuration</t>
  </si>
  <si>
    <t>Fuel selection</t>
  </si>
  <si>
    <t>Operating hours</t>
  </si>
  <si>
    <t>Single boiler plant</t>
  </si>
  <si>
    <t>Fine dust separator</t>
  </si>
  <si>
    <t>Integrated electrostatic precipitator</t>
  </si>
  <si>
    <t>Separate electrostatic precipitator</t>
  </si>
  <si>
    <t>no separator provided*</t>
  </si>
  <si>
    <t>Wood chips, deep winter M &lt; 50%, otherwise M &lt; 35%**</t>
  </si>
  <si>
    <t>Wood chips, all year round M &lt; 35%</t>
  </si>
  <si>
    <t>A08 Assessment of the situation</t>
  </si>
  <si>
    <t>Object</t>
  </si>
  <si>
    <t>Building or</t>
  </si>
  <si>
    <t>type of use</t>
  </si>
  <si>
    <t>QMmini project form</t>
  </si>
  <si>
    <t>A01. Project owner</t>
  </si>
  <si>
    <t>Postcode, City</t>
  </si>
  <si>
    <t>Fuel stock recommendation complied with?</t>
  </si>
  <si>
    <t>Reserve OK</t>
  </si>
  <si>
    <t>Heating system</t>
  </si>
  <si>
    <t>Construction measures</t>
  </si>
  <si>
    <t>(including feeding, flue gas cleaning, measurement and control technology, chimney)</t>
  </si>
  <si>
    <t>(boiler room, fuel storage)</t>
  </si>
  <si>
    <t>A07. Technical data</t>
  </si>
  <si>
    <t>Hours</t>
  </si>
  <si>
    <t>Contact person</t>
  </si>
  <si>
    <t>Fuel storage too small</t>
  </si>
  <si>
    <t>A06. Expected costs (in CHF , excl. VAT)</t>
  </si>
  <si>
    <t>User</t>
  </si>
  <si>
    <t>Planner</t>
  </si>
  <si>
    <t>∆T Supply-Return flow OK</t>
  </si>
  <si>
    <t>∆T Supply-Return flow too small</t>
  </si>
  <si>
    <t>Linear heat density o.k.</t>
  </si>
  <si>
    <t>Linear heat density too low</t>
  </si>
  <si>
    <t>Heatstorage volume OK</t>
  </si>
  <si>
    <t>Heatstorage too small</t>
  </si>
  <si>
    <t>Heatstorage</t>
  </si>
  <si>
    <t>No Heatstorage</t>
  </si>
  <si>
    <t>Ok for pellets, for wood chips above recommended size</t>
  </si>
  <si>
    <t>A04. Evaluation and recommendation of the QMmini verification service</t>
  </si>
  <si>
    <t>QMmini verification service</t>
  </si>
  <si>
    <t>Expected full commissioning</t>
  </si>
  <si>
    <t>**Wood chips with a water content M &gt; 35% are not suitable for  standard series device.</t>
  </si>
  <si>
    <t>are not suitable for standard series devices.</t>
  </si>
  <si>
    <t>Multi-boiler plant</t>
  </si>
  <si>
    <t>Housing with DHW</t>
  </si>
  <si>
    <t>very good</t>
  </si>
  <si>
    <t>insulation</t>
  </si>
  <si>
    <t>Yes/No</t>
  </si>
  <si>
    <t>Total amount</t>
  </si>
  <si>
    <t>A09 Calculated key figures and reference values</t>
  </si>
  <si>
    <t>Calculated key figures</t>
  </si>
  <si>
    <t>Standard values according to table</t>
  </si>
  <si>
    <t>Full operation-</t>
  </si>
  <si>
    <t>number of hours</t>
  </si>
  <si>
    <t>Control</t>
  </si>
  <si>
    <t>A10. Heating network</t>
  </si>
  <si>
    <t>Route length net</t>
  </si>
  <si>
    <t>(= length of trench)</t>
  </si>
  <si>
    <t>via network</t>
  </si>
  <si>
    <t>density</t>
  </si>
  <si>
    <t>Heat distribution losses</t>
  </si>
  <si>
    <t>Warnings heat network:</t>
  </si>
  <si>
    <t>∆T too small!</t>
  </si>
  <si>
    <t>(calculated from total sum (A08) and permissible oversizing factor of 20%)</t>
  </si>
  <si>
    <t>Supplier and boiler type known?</t>
  </si>
  <si>
    <t>Nominal output</t>
  </si>
  <si>
    <t>Minimum power</t>
  </si>
  <si>
    <t xml:space="preserve">(smallest boiler) </t>
  </si>
  <si>
    <t>Other boilers - Total nominal outputs</t>
  </si>
  <si>
    <t>Total nominal boiler output</t>
  </si>
  <si>
    <t>Minimum output (smallest boiler)</t>
  </si>
  <si>
    <t>Type designation</t>
  </si>
  <si>
    <t>Manufacturer / Supplier</t>
  </si>
  <si>
    <t>Dimensioning of boiler</t>
  </si>
  <si>
    <t>Over- or undersizing</t>
  </si>
  <si>
    <t>Too small</t>
  </si>
  <si>
    <t>Oversized</t>
  </si>
  <si>
    <t>Obligation of the project manager:</t>
  </si>
  <si>
    <t>The project manager undertakes to discuss the required room height with the boiler supplier.</t>
  </si>
  <si>
    <t>In addition, he undertakes to inform the manufacturer/supplier of any deviations shown in the project form.</t>
  </si>
  <si>
    <t>A12. System selection QMmini</t>
  </si>
  <si>
    <t>Required power in low load operation</t>
  </si>
  <si>
    <t>Share of nominal boiler output</t>
  </si>
  <si>
    <t>Minimum value</t>
  </si>
  <si>
    <t>(8% for pellets, 10% for wood chips)</t>
  </si>
  <si>
    <t>max. return temperature</t>
  </si>
  <si>
    <t>Minimum storage volume according to QMH</t>
  </si>
  <si>
    <t>Minimum storage volume according to LRV</t>
  </si>
  <si>
    <t>Energy content</t>
  </si>
  <si>
    <t>Fuel stocks greater than annual requirements</t>
  </si>
  <si>
    <t>Fuel storage larger than recommended for wood chips</t>
  </si>
  <si>
    <t>Fuel storage corresponds to recommended size for wood chips</t>
  </si>
  <si>
    <t>Days</t>
  </si>
  <si>
    <t>For pellet storage systems over 50 cubic metres, additional VKF regulations must be observed.</t>
  </si>
  <si>
    <t>Designation</t>
  </si>
  <si>
    <t>Unit</t>
  </si>
  <si>
    <t>General</t>
  </si>
  <si>
    <t>Nominal power</t>
  </si>
  <si>
    <t>Boiler volume flow rate</t>
  </si>
  <si>
    <t>Boiler inlet temperature (T1.1; T2.1)</t>
  </si>
  <si>
    <t>Return temperature</t>
  </si>
  <si>
    <t>Volume flow Total</t>
  </si>
  <si>
    <t>** A bypass is recommended for boilers (see standard circuit part I for WE 2 or WE 6).</t>
  </si>
  <si>
    <t>* If there are more than 2 boilers, the sum is calculated (output, volume flow etc.)</t>
  </si>
  <si>
    <t>Separate DHW</t>
  </si>
  <si>
    <t>low</t>
  </si>
  <si>
    <t>good</t>
  </si>
  <si>
    <t>Network temperatures, °C</t>
  </si>
  <si>
    <t>A11. Boiler information</t>
  </si>
  <si>
    <t>Boiler 1</t>
  </si>
  <si>
    <t>Annual fuel requirement</t>
  </si>
  <si>
    <t>Evaluation of low load operation</t>
  </si>
  <si>
    <t>Calculation of fuel storage capacity</t>
  </si>
  <si>
    <t>Net capacity</t>
  </si>
  <si>
    <t>Coverage of requirements at full load</t>
  </si>
  <si>
    <t>Housing without DHW</t>
  </si>
  <si>
    <t>School without DHW</t>
  </si>
  <si>
    <t>Administration without DHW</t>
  </si>
  <si>
    <t>Return</t>
  </si>
  <si>
    <t>A13. Hydraulic scheme</t>
  </si>
  <si>
    <t>Boiler 2*</t>
  </si>
  <si>
    <t>Thermal</t>
  </si>
  <si>
    <t>Linear heat</t>
  </si>
  <si>
    <t>Supply</t>
  </si>
  <si>
    <t>Linear heat density too low!</t>
  </si>
  <si>
    <t>Linear heat density too low and ∆T too small!</t>
  </si>
  <si>
    <t>Maximum permissible boiler nominal output</t>
  </si>
  <si>
    <t>Maximal zulässige Kesselnennleistung</t>
  </si>
  <si>
    <t>Minimum output</t>
  </si>
  <si>
    <t>Design of boiler circuit and heatstorage</t>
  </si>
  <si>
    <t>Supply temperature</t>
  </si>
  <si>
    <t>Planned heatstorage volume</t>
  </si>
  <si>
    <t>Recommended storage capacity for wood chips</t>
  </si>
  <si>
    <t>Recommendation fuel storage fulfilled</t>
  </si>
  <si>
    <t>Fuel storage corresponds to recommended size for pellets</t>
  </si>
  <si>
    <t>Boiler outlet temperature (T1.2; T2.2)</t>
  </si>
  <si>
    <t>On net</t>
  </si>
  <si>
    <t xml:space="preserve">Power </t>
  </si>
  <si>
    <t>DHW</t>
  </si>
  <si>
    <t>Net energy</t>
  </si>
  <si>
    <t>Gebäude</t>
  </si>
  <si>
    <t>Bâtiment</t>
  </si>
  <si>
    <t>Existant</t>
  </si>
  <si>
    <t>Nouveau</t>
  </si>
  <si>
    <t>Edificio</t>
  </si>
  <si>
    <t>Esistente</t>
  </si>
  <si>
    <t>Nuovo</t>
  </si>
  <si>
    <t>Building</t>
  </si>
  <si>
    <t>Existing</t>
  </si>
  <si>
    <t>New</t>
  </si>
  <si>
    <t>Interlocuteur/personne de contact</t>
  </si>
  <si>
    <t>Responsable des donné actuelles du projet</t>
  </si>
  <si>
    <t>Description de l'installation</t>
  </si>
  <si>
    <t>Autre :</t>
  </si>
  <si>
    <t>Réseau de chauffage</t>
  </si>
  <si>
    <t>Chiffres clés dans la plage de vraisemblance</t>
  </si>
  <si>
    <t>Chiffres clés hors de la plage de vraisemblance</t>
  </si>
  <si>
    <t>Pas de réseau de chauffage</t>
  </si>
  <si>
    <t>Densité de raccordement trop faible</t>
  </si>
  <si>
    <t xml:space="preserve">OK pour pellets, pour plaquettes volume supérieur aux recommandations </t>
  </si>
  <si>
    <t>Stockage de combustible insuffisant</t>
  </si>
  <si>
    <t>Confirmation du responsable du projet</t>
  </si>
  <si>
    <t>Remarques :</t>
  </si>
  <si>
    <t>Numéro du projet :</t>
  </si>
  <si>
    <t>A05. Informations concernant le projet</t>
  </si>
  <si>
    <t>Bâle-Ville</t>
  </si>
  <si>
    <t>Nidwald</t>
  </si>
  <si>
    <t>Subvention par :</t>
  </si>
  <si>
    <t>Energie Zukunft Schweiz (Avenir Energie Suisse)</t>
  </si>
  <si>
    <t>Mesures constructives</t>
  </si>
  <si>
    <t>(y compris système d'alimentation, épuration des fumées, système MCR, cheminée)</t>
  </si>
  <si>
    <t>(Chaufferie, stockage du combustible)</t>
  </si>
  <si>
    <t>(Travaux d'excavation, conduites et stations de transfert)</t>
  </si>
  <si>
    <t>Exploitation tout au long de l'année</t>
  </si>
  <si>
    <t>**Des plaquettes de bois avec une teneur en eau M &gt; 35% ne sont pas adaptés aux appareils de série.</t>
  </si>
  <si>
    <t>ne sont pas adaptés aux appareils de série.</t>
  </si>
  <si>
    <t>Heures</t>
  </si>
  <si>
    <t>Séparateur électrostatique intégré</t>
  </si>
  <si>
    <t>Séparateur électrostatique séparé</t>
  </si>
  <si>
    <t>Granulés/Pellets</t>
  </si>
  <si>
    <t>Habitation avec ECS</t>
  </si>
  <si>
    <t>Habitation sans ECS</t>
  </si>
  <si>
    <t>École sans ECS</t>
  </si>
  <si>
    <t>Administration sans ECS</t>
  </si>
  <si>
    <t>Reserve :</t>
  </si>
  <si>
    <t>A09. Chiffres clés calculés et valeurs de référence</t>
  </si>
  <si>
    <t>Chiffres clés calculés</t>
  </si>
  <si>
    <t>Valeurs de référence selon tableau</t>
  </si>
  <si>
    <t>Contrôle</t>
  </si>
  <si>
    <t>Justification :</t>
  </si>
  <si>
    <t>A10. Réseau de chauffage</t>
  </si>
  <si>
    <t>Puissance nominale maximale admissible de la chaudière</t>
  </si>
  <si>
    <t>(calculé à partir de la somme totale (A08) avec un facteur de surdimensionnement autorisé de 20%)</t>
  </si>
  <si>
    <t>Fournisseur et type de chaudière connus ?</t>
  </si>
  <si>
    <t>Puissance minimale</t>
  </si>
  <si>
    <t>Puissance nominale totale des chaudières prévues</t>
  </si>
  <si>
    <t>Puissance minimale (la plus petite des chaudières)</t>
  </si>
  <si>
    <t>Fabricant / Fournisseur</t>
  </si>
  <si>
    <t>Dimensionnement de la chaudière</t>
  </si>
  <si>
    <t>Sur- ou Sous-dimensionnement</t>
  </si>
  <si>
    <t>Engagement du responsable du projet :</t>
  </si>
  <si>
    <t>Valeur minimale</t>
  </si>
  <si>
    <t>Volume minimal selon le QM Bois</t>
  </si>
  <si>
    <t>Contenu  énergétique</t>
  </si>
  <si>
    <t>Volume de stockage recommandé pour les plaquettes</t>
  </si>
  <si>
    <t>Stockage de combustible supérieur au besoin annuel</t>
  </si>
  <si>
    <t>Stockage de combustible correspond aux recommandations pour les plaquettes de bois</t>
  </si>
  <si>
    <t>Stockage de combustible correspond aux recommandations pour les pellets</t>
  </si>
  <si>
    <t>Stockage de pellets dépassant 50 mètres cubes, des prescriptions AEAI supplémentaires doivent être respectées.</t>
  </si>
  <si>
    <t>Température départ chaudière (T1.2; T2.2)</t>
  </si>
  <si>
    <t>Température entrée chaudière (T1.1; T2.1)</t>
  </si>
  <si>
    <t>Température départ réseau</t>
  </si>
  <si>
    <t>Température retour réseau</t>
  </si>
  <si>
    <t>** Un bypass est recommandé pour les chaudières (voir Solution standard - Partie I pour WE 2 ou WE 6).</t>
  </si>
  <si>
    <t>Recommandation le stockage de combustible satisfaite ?</t>
  </si>
  <si>
    <t>Certification QMmini</t>
  </si>
  <si>
    <t>kg/an</t>
  </si>
  <si>
    <t>Wärmeverteilverluste</t>
  </si>
  <si>
    <t>Avertissements du réseau de chaleur :</t>
  </si>
  <si>
    <t>Kontrolle:</t>
  </si>
  <si>
    <t>Eingabe Trassenlänge</t>
  </si>
  <si>
    <t>Keine</t>
  </si>
  <si>
    <t>None</t>
  </si>
  <si>
    <t>Aucun</t>
  </si>
  <si>
    <t>Nessuno</t>
  </si>
  <si>
    <t>Angaben fehlen</t>
  </si>
  <si>
    <t>Dati mancanti</t>
  </si>
  <si>
    <t>Données manquantes</t>
  </si>
  <si>
    <t>Data missing</t>
  </si>
  <si>
    <t>Validierung: Vollständig ausgefüllt!</t>
  </si>
  <si>
    <t>Validierung: Nicht vollständig ausgefüllt!</t>
  </si>
  <si>
    <t>Validation: Completely filled in!</t>
  </si>
  <si>
    <t>Validation: Not completely filled in!</t>
  </si>
  <si>
    <t>Validation : Complètement rempli !</t>
  </si>
  <si>
    <t>Validation : Pas complètement rempli !</t>
  </si>
  <si>
    <t>Les champs obligatoires suivants du formulaire du projet doivent encore être remplis :</t>
  </si>
  <si>
    <t>Es sind noch folgende Pflichtfelder im Projektformular auszufüllen:</t>
  </si>
  <si>
    <t>The following mandatory fields in the project form must be filled in:</t>
  </si>
  <si>
    <t>Höhe (m. ü. M.)</t>
  </si>
  <si>
    <t>Temperatura di mandata per la preparazione dell'acqua calda relativamente bassa.</t>
  </si>
  <si>
    <t>Supply temperature for water heating relatively low.</t>
  </si>
  <si>
    <t>La température de départ pour la préparation de l'eau chaude est relativement basse.</t>
  </si>
  <si>
    <t>Kein Ganzjahresbetrieb - trotzdem Schwachlastbetrieb beachten</t>
  </si>
  <si>
    <t>No year-round operation - nevertheless, take low load operation into account</t>
  </si>
  <si>
    <t>Vorlauf-Temperatur Netz &gt; Kessel</t>
  </si>
  <si>
    <t>Supply temperature network &gt; boiler</t>
  </si>
  <si>
    <t>Température de départ des réseaux &gt; chaudière</t>
  </si>
  <si>
    <t>Temperatura di mandata di rete &gt; caldaia</t>
  </si>
  <si>
    <t>Heizperiode</t>
  </si>
  <si>
    <t>A02. Responsable du projet</t>
  </si>
  <si>
    <t>A02. Project manager</t>
  </si>
  <si>
    <t>Raccomandazione deposito combustibile soddisfatta?</t>
  </si>
  <si>
    <t>Deposito combustibile troppo piccolo</t>
  </si>
  <si>
    <t>Appenzello Esterno</t>
  </si>
  <si>
    <t>Altopiano svizzero</t>
  </si>
  <si>
    <t>(incl. carica, pulizia dei fumi, tecnica di misurazione e controllo e canna fumaria)</t>
  </si>
  <si>
    <t>(centrale termica e deposito del combustibile)</t>
  </si>
  <si>
    <t>**Cippato con tenore di acqua M &gt; 35% non è adatto per apparecchi di serie.</t>
  </si>
  <si>
    <t>non sono adatti per apparecchi di serie.</t>
  </si>
  <si>
    <t>Ore</t>
  </si>
  <si>
    <t>Impianto con una caldaia</t>
  </si>
  <si>
    <t>Filtro per polveri sottili</t>
  </si>
  <si>
    <t>Filtro elettrostatico integrato</t>
  </si>
  <si>
    <t>Filtro elettrostatico separato</t>
  </si>
  <si>
    <t>Nessun filtro previsto*</t>
  </si>
  <si>
    <t>Riserva:</t>
  </si>
  <si>
    <t xml:space="preserve">Densità di allacciamento insufficiente! </t>
  </si>
  <si>
    <t xml:space="preserve">Densità di allacciamento insufficiente e ∆T troppo piccolo! </t>
  </si>
  <si>
    <t>(8% per il pellet, 10% per il cippato)</t>
  </si>
  <si>
    <t>Temp. andata</t>
  </si>
  <si>
    <t>Calcolo dimensioni deposito combustibile</t>
  </si>
  <si>
    <t>Volume del deposito raccomandato per il cippato</t>
  </si>
  <si>
    <t>Raccomandazioni sul deposito del combustibile rispettate</t>
  </si>
  <si>
    <t>Deposito combustibile superiore al fabbisogno annuo</t>
  </si>
  <si>
    <t>Deposito del combustibile più grande di quello raccomandato per il cippato</t>
  </si>
  <si>
    <t>Il deposito del combustibile corrisponde alle dimensioni consigliate per il cippato</t>
  </si>
  <si>
    <t>Il deposito del combustibile corrisponde alle dimensioni consigliate per il pellet</t>
  </si>
  <si>
    <t>* Se ci sono più di 2 caldaie, viene calcolata la somma (potenza, portata, ecc.)</t>
  </si>
  <si>
    <t>A04. Valutazione e raccomandazione del servizio di verifica QMmini</t>
  </si>
  <si>
    <t>Sommerbetrieb Holzkessel zulässig?</t>
  </si>
  <si>
    <t>Exploitation de la chaudière à bois autorisée en été ?</t>
  </si>
  <si>
    <t>Summer operation of wood boilers permitted?</t>
  </si>
  <si>
    <r>
      <t>m</t>
    </r>
    <r>
      <rPr>
        <b/>
        <vertAlign val="superscript"/>
        <sz val="7"/>
        <color theme="1"/>
        <rFont val="Arial"/>
        <family val="2"/>
      </rPr>
      <t>2</t>
    </r>
  </si>
  <si>
    <t>Jahres-</t>
  </si>
  <si>
    <t>de chaleur</t>
  </si>
  <si>
    <t>di calore</t>
  </si>
  <si>
    <t>demand</t>
  </si>
  <si>
    <t>bedarf</t>
  </si>
  <si>
    <t>wärme-</t>
  </si>
  <si>
    <t>annuel</t>
  </si>
  <si>
    <t>Besoin</t>
  </si>
  <si>
    <t>Consumo</t>
  </si>
  <si>
    <t>annuo</t>
  </si>
  <si>
    <t>heat</t>
  </si>
  <si>
    <t>Annual</t>
  </si>
  <si>
    <t>énergétique</t>
  </si>
  <si>
    <t>Surface</t>
  </si>
  <si>
    <t>de référence</t>
  </si>
  <si>
    <t>Superficie</t>
  </si>
  <si>
    <t>di riferimento</t>
  </si>
  <si>
    <t>fläche</t>
  </si>
  <si>
    <t>area</t>
  </si>
  <si>
    <t>energetico</t>
  </si>
  <si>
    <t>bezugs-</t>
  </si>
  <si>
    <t>Energie-</t>
  </si>
  <si>
    <t>Energy</t>
  </si>
  <si>
    <t>supply</t>
  </si>
  <si>
    <t>kWh/a*</t>
  </si>
  <si>
    <t>Solarthermie</t>
  </si>
  <si>
    <t>Wärmepumpe</t>
  </si>
  <si>
    <t>Andere:</t>
  </si>
  <si>
    <t>Solar thermal energy</t>
  </si>
  <si>
    <t>Heat pump</t>
  </si>
  <si>
    <t>L'énergie solaire thermique</t>
  </si>
  <si>
    <t>Pompe à chaleur</t>
  </si>
  <si>
    <t>Autres :</t>
  </si>
  <si>
    <t>Pompa di calore</t>
  </si>
  <si>
    <t>Altri:</t>
  </si>
  <si>
    <t>Zusätzliche Energieträger/Systeme</t>
  </si>
  <si>
    <t>Autres sources ou systèmes d'énergie renouvelable</t>
  </si>
  <si>
    <t>Additional renewable energy sources or systems</t>
  </si>
  <si>
    <t>Zusätzliche erneuerbare Energieträger oder Systeme</t>
  </si>
  <si>
    <t>Vorlauftemperatur für Warmwasserbereitung relativ niedrig</t>
  </si>
  <si>
    <t>Stunden (anpassen an Klimaregion)</t>
  </si>
  <si>
    <t>Heures (adapter à la région climatique)</t>
  </si>
  <si>
    <t>Hours (adapt to climate region)</t>
  </si>
  <si>
    <t>Bedingung Speichervolumen nach QMH erfüllt?</t>
  </si>
  <si>
    <t>Condition heatstorage volume according to QMH fulfilled?</t>
  </si>
  <si>
    <t>Condition volume de l'accumulateur selon le QM Bois satisfaite ?</t>
  </si>
  <si>
    <t>2000 - 2500</t>
  </si>
  <si>
    <t>1600 - 2000</t>
  </si>
  <si>
    <t>1300 - 1700</t>
  </si>
  <si>
    <t>1800 - 2200</t>
  </si>
  <si>
    <t>1200 - 1800</t>
  </si>
  <si>
    <t>900 - 1300</t>
  </si>
  <si>
    <t>1400 - 1800</t>
  </si>
  <si>
    <t>1000 - 1400</t>
  </si>
  <si>
    <t>800 - 1100</t>
  </si>
  <si>
    <t>80 - 120</t>
  </si>
  <si>
    <t>50 - 80</t>
  </si>
  <si>
    <t>40 - 60</t>
  </si>
  <si>
    <t>60 - 100</t>
  </si>
  <si>
    <t>30 - 60</t>
  </si>
  <si>
    <t>20 - 40</t>
  </si>
  <si>
    <t>35 - 55</t>
  </si>
  <si>
    <t>30 - 45</t>
  </si>
  <si>
    <t>25 - 40</t>
  </si>
  <si>
    <t>30 - 50</t>
  </si>
  <si>
    <t>20 - 35</t>
  </si>
  <si>
    <t>35 - 60</t>
  </si>
  <si>
    <t>25 - 50</t>
  </si>
  <si>
    <t>2300 - 2800</t>
  </si>
  <si>
    <t>1900 - 2300</t>
  </si>
  <si>
    <t>2100 - 2600</t>
  </si>
  <si>
    <t>1500 - 2100</t>
  </si>
  <si>
    <t>1200 - 1600</t>
  </si>
  <si>
    <t>1700 - 2200</t>
  </si>
  <si>
    <t>95 - 140</t>
  </si>
  <si>
    <t>55 - 95</t>
  </si>
  <si>
    <t>45 - 65</t>
  </si>
  <si>
    <t>75 - 120</t>
  </si>
  <si>
    <t>35 - 75</t>
  </si>
  <si>
    <t>25 - 45</t>
  </si>
  <si>
    <t>1400 - 1700</t>
  </si>
  <si>
    <t>1400 - 1900</t>
  </si>
  <si>
    <t>1100 - 1400</t>
  </si>
  <si>
    <t>900 - 1200</t>
  </si>
  <si>
    <t>1300 - 1600</t>
  </si>
  <si>
    <t>1000 - 1300</t>
  </si>
  <si>
    <t>70 - 105</t>
  </si>
  <si>
    <t>45 - 70</t>
  </si>
  <si>
    <t>40 - 55</t>
  </si>
  <si>
    <t>50 - 85</t>
  </si>
  <si>
    <r>
      <t>kWh/(m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a)</t>
    </r>
  </si>
  <si>
    <r>
      <t>W/m</t>
    </r>
    <r>
      <rPr>
        <vertAlign val="superscript"/>
        <sz val="8"/>
        <color theme="1"/>
        <rFont val="Arial"/>
        <family val="2"/>
      </rPr>
      <t>2</t>
    </r>
  </si>
  <si>
    <t>Übertrag aus Formular</t>
  </si>
  <si>
    <t>Manuel ausfüllen</t>
  </si>
  <si>
    <t>Berechnung</t>
  </si>
  <si>
    <t>Änderung gegenüber alter Version</t>
  </si>
  <si>
    <t>Datenbank Version: QMmini_Uebersicht_V011.xlsx</t>
  </si>
  <si>
    <t>Neu</t>
  </si>
  <si>
    <t>Datenbank Version: Neu</t>
  </si>
  <si>
    <t>Anlagenbeschrieb</t>
  </si>
  <si>
    <t>Umbenennen</t>
  </si>
  <si>
    <t>Förderung durch</t>
  </si>
  <si>
    <t>*Empfehlung:</t>
  </si>
  <si>
    <t>Platz für Nachrüstung vorsehen.</t>
  </si>
  <si>
    <t>Bestätigen lassen, dass die Feinstaubgrenzwerte eingehalten werden können.</t>
  </si>
  <si>
    <t>*Recommandation :</t>
  </si>
  <si>
    <t>Prévoir de l'espace pour le rajout d'un séparateur de p.f.</t>
  </si>
  <si>
    <t>Faire confirmer que les valeurs limites pour les particules fines peuvent être respectées.</t>
  </si>
  <si>
    <t>*Raccomandazione:</t>
  </si>
  <si>
    <t>Prevedere uno spazio per il retrofitting.</t>
  </si>
  <si>
    <t>Far confermare che i valori limite delle polveri sottili possono essere rispettati.</t>
  </si>
  <si>
    <t>*Recommendation:</t>
  </si>
  <si>
    <t>Provide space for retrofitting.</t>
  </si>
  <si>
    <t>Have it confirmed that the fine dust limit values can be complied with.</t>
  </si>
  <si>
    <t>Berechnung Gesamtsumme Tabelle A08 korrigiert</t>
  </si>
  <si>
    <t>Ergebnisse der Wärmeverlustberechnung in die Tabelle in A08 ergänzt</t>
  </si>
  <si>
    <t>Berechnung Wärmeverteilverluste korrigiert</t>
  </si>
  <si>
    <t>Zelle AI35 im Projektformular: Bedingung Ganzjahresbetrieb auf unterschiedliche Sprachen eingestellt</t>
  </si>
  <si>
    <t>Zelle W16 in Berechnungen: Bedingung Klimaregion auf unterschiedliche Sprachen eingestellt</t>
  </si>
  <si>
    <t>Wann</t>
  </si>
  <si>
    <t>Was</t>
  </si>
  <si>
    <t>Wer</t>
  </si>
  <si>
    <t>Treier:</t>
  </si>
  <si>
    <t>Bei geregelten Energieeffizienzpumpen kann auf Strangregulierverntile verzichtet werden.</t>
  </si>
  <si>
    <t>Direktlink zur entsprechenden Stelle im Leitfaden machen (ST: Leitfaden in Excel einbauen)</t>
  </si>
  <si>
    <t>ST</t>
  </si>
  <si>
    <t>Summe Wärmebedarf_Nutzenergie</t>
  </si>
  <si>
    <t>Summe Wärmebedarf_davon WW</t>
  </si>
  <si>
    <t>Summe Wärmeleistungsbedarf</t>
  </si>
  <si>
    <t>Verluste Wärmeleistungsbedarf _Netz</t>
  </si>
  <si>
    <t>Verluste Wärmebedarf_Netz</t>
  </si>
  <si>
    <t>BL</t>
  </si>
  <si>
    <t>AI</t>
  </si>
  <si>
    <t>Datenbankeinträge bis Zeile 83 erstellt</t>
  </si>
  <si>
    <t>Thalmann</t>
  </si>
  <si>
    <t>Good</t>
  </si>
  <si>
    <t>Zotter</t>
  </si>
  <si>
    <t>Logos E-CH eingefügt</t>
  </si>
  <si>
    <t>Vollbetriebsstundenzahl Einkessel</t>
  </si>
  <si>
    <t>Vollbetriebsstundenzahl Mehrkessel</t>
  </si>
  <si>
    <t>Datenbankeinträge bis Zeile 208 erstellt</t>
  </si>
  <si>
    <t>Zellen Kategorie</t>
  </si>
  <si>
    <t>Standard</t>
  </si>
  <si>
    <t>Datum</t>
  </si>
  <si>
    <t>Text</t>
  </si>
  <si>
    <t>Datenbankeinträge in Mappe Projektformular in Spalte CP übertragen</t>
  </si>
  <si>
    <t xml:space="preserve">Speichervolumen nach QMH i.O., gemäss LRV zu klein </t>
  </si>
  <si>
    <t>Heatstorage volume according to QMH OK, small according to LRV</t>
  </si>
  <si>
    <t>Meldung LRV in Zelle G32 ergänzt</t>
  </si>
  <si>
    <t>Meldung LRV in Zelle BI50 ergänzt</t>
  </si>
  <si>
    <t xml:space="preserve">Geplantes Speichervolumen entspricht nicht den Vorgaben der LRV. Eine Ausnahmebewilligung ist einzuholen! </t>
  </si>
  <si>
    <t>Planned heatstorage volume does not meet the requirements of the LRV. An exemption permit must be obtained!</t>
  </si>
  <si>
    <t>Vereinfachtes Prinzipschema</t>
  </si>
  <si>
    <t>Simplified principle scheme</t>
  </si>
  <si>
    <t>Schéma de principe simplifié</t>
  </si>
  <si>
    <t>Feedback Vernehmlassung ergänzt und korrigiert</t>
  </si>
  <si>
    <t>Testing mit 5 QMmini-Projekten durchgeführt und diverse Korrekturen gemacht</t>
  </si>
  <si>
    <t>kWh par mètre cube en vrac</t>
  </si>
  <si>
    <t>kWh pro Schüttraummeter</t>
  </si>
  <si>
    <t>kWh per metro cubo alla rinfusa</t>
  </si>
  <si>
    <t>kWh per bulk cubic metre</t>
  </si>
  <si>
    <t>* Bei mehr als 2 Kesseln wird die Summe berechnet (Leistung, Volumenstrom etc.)</t>
  </si>
  <si>
    <t>Aucune</t>
  </si>
  <si>
    <t>Diverses Feedback von Jürgen Good implementiert</t>
  </si>
  <si>
    <t>bonne</t>
  </si>
  <si>
    <t>très bonne</t>
  </si>
  <si>
    <t>Exploitation tout l'année à faible charge non satisfaite</t>
  </si>
  <si>
    <t>Esercizio tutto l'anno a carico ridotto non rispettato</t>
  </si>
  <si>
    <t>Exploitation tout l'année à faible charge satisfait</t>
  </si>
  <si>
    <t>Esercizio tutto l'anno a carico ridotto rispettato</t>
  </si>
  <si>
    <t>Pas d'exploitation tout l'année - observer néanmoins un fonctionnement à faible charge</t>
  </si>
  <si>
    <t>m3Pl/a</t>
  </si>
  <si>
    <t>m3 Cippato/a</t>
  </si>
  <si>
    <t>bulk m3/a</t>
  </si>
  <si>
    <t>Volume de stockage plus grand que recommandé pour les plaquettes de bois</t>
  </si>
  <si>
    <t>(8% bei Pellets, 10% bei Holzhhackschnitzeln)</t>
  </si>
  <si>
    <t>Trop petit</t>
  </si>
  <si>
    <t>Surdimensionné</t>
  </si>
  <si>
    <t>Hinweise ab Zeile 74</t>
  </si>
  <si>
    <t>Note dalla linea 74</t>
  </si>
  <si>
    <t>Remarques de la ligne 74</t>
  </si>
  <si>
    <t>Notes from line 74</t>
  </si>
  <si>
    <t>Appenzello Interno</t>
  </si>
  <si>
    <t>a.c.s. separata</t>
  </si>
  <si>
    <t>Altre caldaie - somma delle potenze nominali</t>
  </si>
  <si>
    <t>Senza esercizio tutto l'anno - osservare tuttavia il funzionamento a basso carico</t>
  </si>
  <si>
    <t>Volume accumulatore secondo QMH ok, ma secondo OIAt troppo piccolo</t>
  </si>
  <si>
    <t>(lavori di scavo, condutture e sottostazioni termiche)</t>
  </si>
  <si>
    <t>Ulteriori vettori o sistemi a energie rinnovabili</t>
  </si>
  <si>
    <t>Ore (adeguare alla regione climatica)</t>
  </si>
  <si>
    <t>Cippato, tutto l'anno M &lt; 35%</t>
  </si>
  <si>
    <t>Potenza nominale massima ammissibile della caldaia</t>
  </si>
  <si>
    <t>Potenza richiesta in funzionamento a basso carico</t>
  </si>
  <si>
    <t>Esercizio estivo della caldaia a legna ammesso?</t>
  </si>
  <si>
    <t>Condizione sul volume dell'accumulatore secondo QMH soddisfatta?</t>
  </si>
  <si>
    <t>Il volume previsto dell'accumulatore non soddisfa i requisiti dell'OIAt. È necessario ottenere un permesso di deroga!</t>
  </si>
  <si>
    <t>Capienza netta</t>
  </si>
  <si>
    <t>Per depositi del pellet di dimensioni superiori a 50 metri cubi, devono essere rispettate ulteriori prescrizioni dell'AICAA (VKF)</t>
  </si>
  <si>
    <t>I seguenti campi obbligatori del modulo di progetto devono ancora essere compilati:</t>
  </si>
  <si>
    <t>Solare termico</t>
  </si>
  <si>
    <t>Schema di principio semplificato</t>
  </si>
  <si>
    <t>Italienisch</t>
  </si>
  <si>
    <t xml:space="preserve">Limite di riscaldamento </t>
  </si>
  <si>
    <t>Altopiano</t>
  </si>
  <si>
    <t>Regione alpina</t>
  </si>
  <si>
    <t>Sud delle Alpi</t>
  </si>
  <si>
    <t>350...800 m.s.l.m.</t>
  </si>
  <si>
    <t>800..1200 m.s.l.m.</t>
  </si>
  <si>
    <t>200...600 m.s.l.m.</t>
  </si>
  <si>
    <t>Scuola e Amministrazione senza a.c.s.</t>
  </si>
  <si>
    <t>Fonctionnement toute l'année</t>
  </si>
  <si>
    <t>Heating operation</t>
  </si>
  <si>
    <t>Esercizio solo periodo riscaldamento</t>
  </si>
  <si>
    <t>Validazione: Completamente compilato</t>
  </si>
  <si>
    <t>Validazione: NON completamente compilato</t>
  </si>
  <si>
    <t>Besoins annuels de combustible</t>
  </si>
  <si>
    <t>A04. Evaluation et recommandation du service de contrôle QMmini</t>
  </si>
  <si>
    <t>A03. Résultat de l'audit du service de contrôle QMmini</t>
  </si>
  <si>
    <t>Übersetzungen der Dokumente abgeschlossen und Formular angepasst</t>
  </si>
  <si>
    <t>Version 3.0 abgeschlossen</t>
  </si>
  <si>
    <t>Vorlage- und Beispielformular auf D, F, I und E erstellt</t>
  </si>
  <si>
    <t>Volume d'accumulateur selon QM Bois OK; selon OPair trop faible</t>
  </si>
  <si>
    <t>Volume minimal selon OPair</t>
  </si>
  <si>
    <t>Le volume de l'accumulateur prévu ne répond pas aux exigences du OPair. Il faut obtenir un permis d'exemption !</t>
  </si>
  <si>
    <t>350...800 en m</t>
  </si>
  <si>
    <t>800..1200 en m</t>
  </si>
  <si>
    <t>200...600 en m</t>
  </si>
  <si>
    <t>Limite de chauffage</t>
  </si>
  <si>
    <t>Ecole et Administration sans ECS</t>
  </si>
  <si>
    <t>Fonctionnement pendant la période de chauffage</t>
  </si>
  <si>
    <t>Der Projektverantwortliche verpflichtet sich mit dem Kessellieferanten die erforderliche Raumhöhe zu diskutieren, sobald dieser bekannt ist.</t>
  </si>
  <si>
    <t>Le responsable de projet s’engage à discuter de la hauteur de pièce requise avec le fournisseur de la chaudière, dès que celui-ci est connu.</t>
  </si>
  <si>
    <t>Il responsabile del progetto si impegna a discutere con il fornitore della caldaia riguardo all’altezza necessaria del locale tecnico, non appena il fornitore è noto.</t>
  </si>
  <si>
    <t>The project manager undertakes to discuss the required room height with the boiler supplier, as soon as the supplier is determined.</t>
  </si>
  <si>
    <t>Le responsable de projet s'engage à discuter de la hauteur de pièce requise avec le fournisseur de la chaudière.</t>
  </si>
  <si>
    <t>Il responsabile del progetto si impegna a discutere con il fornitore della caldaia riguardo all’altezza necessaria del locale tecnico.</t>
  </si>
  <si>
    <t>En outre, il s’engage à informer le fabricant/fournisseur de toute déviation figurant dans le formulaire de projet.</t>
  </si>
  <si>
    <t>Inoltre, si impegna a informare il produttore/fornitore di qualsiasi deviazione dal formulario di progetto.</t>
  </si>
  <si>
    <t>Kommentare und Vorschläge zum 2. Entwurf V25 (Januar 2021):</t>
  </si>
  <si>
    <t>Version 3.1 erstellt und Fehler in Zelle BL46 sowie Bemerkung Kesseldimensionierung in BQ13 korrigiert</t>
  </si>
  <si>
    <t>Versionsnummer in B2 ergänzt</t>
  </si>
  <si>
    <t>Neues E-CH Logo</t>
  </si>
  <si>
    <t>Version 34 --&gt; Version 3.2</t>
  </si>
  <si>
    <t>* Nutzenergie; Wurden Gebäudesanierungen (geplant oder in den letzten 3 Jahren umgesetzt) sowie der Jahresnutzungsgrad der bestehenden Anlage berücksichtigt?</t>
  </si>
  <si>
    <t>* Énergie utile; Les rénovations des bâtiments (prévues ou réalisées au cours des 3 dernières années) et le rendement annuel de l'installation existante ont-ils été pris en compte ?</t>
  </si>
  <si>
    <t>* Energia utile; Sono state prese in considerazione le ristrutturazioni edilizie (previste, oppure realizzate negli ultimi 3 anni) e l'efficienza annuale dell'impianto esistente?</t>
  </si>
  <si>
    <t>* Useful energy; Have building refurbishments (planned or implemented in the last 3 years) and the annual efficiency of the existing plant been taken into account?</t>
  </si>
  <si>
    <t>Version 35 --&gt; Version 3.3</t>
  </si>
  <si>
    <t>Version 36; Datenbank übertragung angepasst und fertiggestellt</t>
  </si>
  <si>
    <t>Unnötig für V3</t>
  </si>
  <si>
    <t>Datenbank Berechnung Zeile 94 und 95 korrigiert</t>
  </si>
  <si>
    <t>Lieu</t>
  </si>
  <si>
    <t>Date</t>
  </si>
  <si>
    <t>Luogo</t>
  </si>
  <si>
    <t>Data</t>
  </si>
  <si>
    <t>Place</t>
  </si>
  <si>
    <t>qmmini@verenum.ch</t>
  </si>
  <si>
    <t>Reserve: Alle Angaben ausfüllen</t>
  </si>
  <si>
    <t>Riserva: Compilare tutti i dettagli</t>
  </si>
  <si>
    <t>Réserve : Remplir toutes les données</t>
  </si>
  <si>
    <t>Reserve: Fill in all details</t>
  </si>
  <si>
    <t>Geplantes Speichervolumen in Kubikmeter angeben</t>
  </si>
  <si>
    <t>Indiquer le volume de l'accumulateur prévu en mètres cubes</t>
  </si>
  <si>
    <t>Specificare il volume previsto dell'accumulatore in metri cubi</t>
  </si>
  <si>
    <t>Specify planned heatstorage volume in cubic metres</t>
  </si>
  <si>
    <t>Version 37 --&gt; Version 3.4</t>
  </si>
  <si>
    <t xml:space="preserve">Version 38 --&gt; Version 3.4 Kontrolle Speichergrösse verbessert </t>
  </si>
  <si>
    <t>Version 39 --&gt; Version 3.4-39: Claudio Caccia entfernt</t>
  </si>
  <si>
    <t>Version 3.4-39</t>
  </si>
  <si>
    <t>Prüfstelle QMmini, c/o Verenum AG, Daniel Zaugg</t>
  </si>
  <si>
    <t>044 377 70 74</t>
  </si>
  <si>
    <t>Zaugg</t>
  </si>
  <si>
    <t>044 377 70 76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</si>
</sst>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#,##0.0"/>
    <numFmt numFmtId="166" formatCode="0.0%"/>
    <numFmt numFmtId="167" formatCode="0.0"/>
    <numFmt numFmtId="168" formatCode="&quot;CHF&quot;\ #,##0.00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rgb="FF0000FF"/>
      <name val="Arial"/>
      <family val="2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u/>
      <sz val="8"/>
      <color rgb="FF0000FF"/>
      <name val="Arial"/>
      <family val="2"/>
    </font>
    <font>
      <b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7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vertAlign val="superscript"/>
      <sz val="8"/>
      <color rgb="FF00B050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color rgb="FF7030A0"/>
      <name val="Arial"/>
      <family val="2"/>
    </font>
    <font>
      <sz val="7"/>
      <color rgb="FF7030A0"/>
      <name val="Arial"/>
      <family val="2"/>
    </font>
    <font>
      <vertAlign val="superscript"/>
      <sz val="7"/>
      <color rgb="FF7030A0"/>
      <name val="Arial"/>
      <family val="2"/>
    </font>
    <font>
      <b/>
      <sz val="8"/>
      <color rgb="FFFF0000"/>
      <name val="Arial"/>
      <family val="2"/>
    </font>
    <font>
      <sz val="9"/>
      <color rgb="FF0000FF"/>
      <name val="Arial"/>
      <family val="2"/>
    </font>
    <font>
      <sz val="11"/>
      <color rgb="FF9C0006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6.5"/>
      <name val="Arial"/>
      <family val="2"/>
    </font>
    <font>
      <b/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53">
    <xf numFmtId="0" fontId="0" fillId="0" borderId="0" applyFo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40" fillId="9" borderId="0" applyNumberFormat="0" applyBorder="0" applyAlignment="0" applyProtection="0"/>
    <xf numFmtId="0" fontId="47" fillId="0" borderId="0"/>
  </cellStyleXfs>
  <cellXfs count="588">
    <xf numFmtId="0" fontId="0" fillId="0" borderId="0" xfId="0"/>
    <xf numFmtId="0" fontId="15" fillId="2" borderId="10" xfId="149" applyFont="1" applyFill="1" applyBorder="1" applyAlignment="1">
      <alignment horizontal="left" vertical="top" wrapText="1"/>
    </xf>
    <xf numFmtId="0" fontId="15" fillId="3" borderId="10" xfId="149" applyFont="1" applyFill="1" applyBorder="1" applyAlignment="1" applyProtection="1">
      <alignment horizontal="left" vertical="top" wrapText="1"/>
      <protection locked="0"/>
    </xf>
    <xf numFmtId="0" fontId="15" fillId="4" borderId="10" xfId="149" applyFont="1" applyFill="1" applyBorder="1" applyAlignment="1" applyProtection="1">
      <alignment horizontal="left" vertical="top" wrapText="1"/>
      <protection locked="0"/>
    </xf>
    <xf numFmtId="0" fontId="15" fillId="5" borderId="10" xfId="149" applyFont="1" applyFill="1" applyBorder="1" applyAlignment="1" applyProtection="1">
      <alignment horizontal="left" vertical="top" wrapText="1"/>
      <protection locked="0"/>
    </xf>
    <xf numFmtId="0" fontId="15" fillId="6" borderId="10" xfId="149" applyFont="1" applyFill="1" applyBorder="1" applyAlignment="1" applyProtection="1">
      <alignment horizontal="left" vertical="top" wrapText="1"/>
      <protection locked="0"/>
    </xf>
    <xf numFmtId="0" fontId="16" fillId="2" borderId="10" xfId="149" applyFont="1" applyFill="1" applyBorder="1" applyAlignment="1">
      <alignment horizontal="left" vertical="top" wrapText="1"/>
    </xf>
    <xf numFmtId="0" fontId="16" fillId="3" borderId="10" xfId="149" applyFont="1" applyFill="1" applyBorder="1" applyAlignment="1" applyProtection="1">
      <alignment horizontal="left" vertical="top" wrapText="1"/>
      <protection locked="0"/>
    </xf>
    <xf numFmtId="0" fontId="16" fillId="4" borderId="10" xfId="149" applyFont="1" applyFill="1" applyBorder="1" applyAlignment="1" applyProtection="1">
      <alignment horizontal="left" vertical="top" wrapText="1"/>
      <protection locked="0"/>
    </xf>
    <xf numFmtId="0" fontId="16" fillId="5" borderId="10" xfId="149" applyFont="1" applyFill="1" applyBorder="1" applyAlignment="1" applyProtection="1">
      <alignment horizontal="left" vertical="top" wrapText="1"/>
      <protection locked="0"/>
    </xf>
    <xf numFmtId="0" fontId="16" fillId="6" borderId="10" xfId="149" applyFont="1" applyFill="1" applyBorder="1" applyAlignment="1" applyProtection="1">
      <alignment horizontal="left" vertical="top" wrapText="1"/>
      <protection locked="0"/>
    </xf>
    <xf numFmtId="0" fontId="16" fillId="3" borderId="10" xfId="149" applyFont="1" applyFill="1" applyBorder="1" applyAlignment="1">
      <alignment horizontal="left" vertical="top" wrapText="1"/>
    </xf>
    <xf numFmtId="0" fontId="16" fillId="4" borderId="10" xfId="149" applyFont="1" applyFill="1" applyBorder="1" applyAlignment="1">
      <alignment horizontal="left" vertical="top" wrapText="1"/>
    </xf>
    <xf numFmtId="0" fontId="16" fillId="5" borderId="10" xfId="149" applyFont="1" applyFill="1" applyBorder="1" applyAlignment="1">
      <alignment horizontal="left" vertical="top" wrapText="1"/>
    </xf>
    <xf numFmtId="0" fontId="16" fillId="6" borderId="10" xfId="149" applyFont="1" applyFill="1" applyBorder="1" applyAlignment="1">
      <alignment horizontal="left" vertical="top" wrapText="1"/>
    </xf>
    <xf numFmtId="0" fontId="16" fillId="0" borderId="0" xfId="149" applyFont="1" applyAlignment="1">
      <alignment horizontal="left" vertical="top" wrapText="1"/>
    </xf>
    <xf numFmtId="0" fontId="15" fillId="0" borderId="0" xfId="149" applyFont="1" applyAlignment="1">
      <alignment horizontal="left" vertical="top" wrapText="1"/>
    </xf>
    <xf numFmtId="0" fontId="5" fillId="2" borderId="0" xfId="0" applyFont="1" applyFill="1"/>
    <xf numFmtId="0" fontId="26" fillId="2" borderId="10" xfId="0" applyFont="1" applyFill="1" applyBorder="1" applyAlignment="1" applyProtection="1">
      <alignment horizontal="center" vertical="center"/>
    </xf>
    <xf numFmtId="0" fontId="29" fillId="2" borderId="2" xfId="0" applyFont="1" applyFill="1" applyBorder="1" applyAlignment="1" applyProtection="1">
      <alignment vertical="center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0" fillId="2" borderId="11" xfId="0" applyFont="1" applyFill="1" applyBorder="1" applyProtection="1"/>
    <xf numFmtId="0" fontId="30" fillId="2" borderId="5" xfId="0" applyFont="1" applyFill="1" applyBorder="1" applyAlignment="1" applyProtection="1">
      <alignment horizontal="center"/>
    </xf>
    <xf numFmtId="0" fontId="30" fillId="2" borderId="15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center" vertical="center"/>
    </xf>
    <xf numFmtId="0" fontId="20" fillId="2" borderId="6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30" fillId="2" borderId="8" xfId="0" applyFont="1" applyFill="1" applyBorder="1" applyAlignment="1" applyProtection="1">
      <alignment horizontal="center" vertical="top"/>
    </xf>
    <xf numFmtId="0" fontId="30" fillId="2" borderId="12" xfId="0" applyFont="1" applyFill="1" applyBorder="1" applyAlignment="1" applyProtection="1">
      <alignment horizontal="center" vertical="top"/>
    </xf>
    <xf numFmtId="0" fontId="5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right" vertical="center"/>
    </xf>
    <xf numFmtId="3" fontId="26" fillId="2" borderId="10" xfId="0" applyNumberFormat="1" applyFont="1" applyFill="1" applyBorder="1" applyAlignment="1" applyProtection="1">
      <alignment horizontal="right" vertical="center"/>
    </xf>
    <xf numFmtId="3" fontId="30" fillId="2" borderId="10" xfId="0" applyNumberFormat="1" applyFont="1" applyFill="1" applyBorder="1" applyAlignment="1" applyProtection="1">
      <alignment horizontal="right" vertical="center"/>
    </xf>
    <xf numFmtId="0" fontId="5" fillId="2" borderId="11" xfId="0" applyFont="1" applyFill="1" applyBorder="1"/>
    <xf numFmtId="0" fontId="20" fillId="2" borderId="15" xfId="0" applyFont="1" applyFill="1" applyBorder="1" applyProtection="1"/>
    <xf numFmtId="0" fontId="11" fillId="2" borderId="2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/>
    </xf>
    <xf numFmtId="0" fontId="34" fillId="2" borderId="2" xfId="0" applyFont="1" applyFill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30" fillId="2" borderId="4" xfId="0" applyFont="1" applyFill="1" applyBorder="1" applyAlignment="1" applyProtection="1">
      <alignment horizontal="center"/>
    </xf>
    <xf numFmtId="0" fontId="30" fillId="2" borderId="6" xfId="0" applyFont="1" applyFill="1" applyBorder="1" applyAlignment="1" applyProtection="1">
      <alignment horizontal="center" vertical="top"/>
    </xf>
    <xf numFmtId="0" fontId="34" fillId="2" borderId="1" xfId="0" applyFont="1" applyFill="1" applyBorder="1" applyAlignment="1" applyProtection="1">
      <alignment vertical="center"/>
    </xf>
    <xf numFmtId="0" fontId="20" fillId="2" borderId="11" xfId="0" applyFont="1" applyFill="1" applyBorder="1"/>
    <xf numFmtId="3" fontId="18" fillId="2" borderId="10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>
      <alignment horizontal="right"/>
    </xf>
    <xf numFmtId="0" fontId="20" fillId="2" borderId="12" xfId="0" applyFont="1" applyFill="1" applyBorder="1" applyAlignment="1">
      <alignment horizontal="right"/>
    </xf>
    <xf numFmtId="0" fontId="34" fillId="2" borderId="3" xfId="0" applyFont="1" applyFill="1" applyBorder="1" applyAlignment="1" applyProtection="1">
      <alignment vertical="center"/>
    </xf>
    <xf numFmtId="0" fontId="34" fillId="2" borderId="5" xfId="0" applyFont="1" applyFill="1" applyBorder="1" applyAlignment="1" applyProtection="1">
      <alignment horizontal="center"/>
    </xf>
    <xf numFmtId="0" fontId="34" fillId="2" borderId="5" xfId="0" applyFont="1" applyFill="1" applyBorder="1" applyAlignment="1" applyProtection="1">
      <alignment horizontal="center" vertical="top"/>
    </xf>
    <xf numFmtId="0" fontId="5" fillId="3" borderId="22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5" fillId="4" borderId="22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5" fillId="5" borderId="22" xfId="0" applyFont="1" applyFill="1" applyBorder="1"/>
    <xf numFmtId="0" fontId="5" fillId="5" borderId="31" xfId="0" applyFont="1" applyFill="1" applyBorder="1"/>
    <xf numFmtId="0" fontId="5" fillId="5" borderId="32" xfId="0" applyFont="1" applyFill="1" applyBorder="1"/>
    <xf numFmtId="0" fontId="5" fillId="2" borderId="7" xfId="0" applyFont="1" applyFill="1" applyBorder="1"/>
    <xf numFmtId="0" fontId="5" fillId="3" borderId="33" xfId="0" applyFont="1" applyFill="1" applyBorder="1"/>
    <xf numFmtId="0" fontId="5" fillId="3" borderId="12" xfId="0" applyFont="1" applyFill="1" applyBorder="1"/>
    <xf numFmtId="0" fontId="5" fillId="3" borderId="17" xfId="0" applyFont="1" applyFill="1" applyBorder="1"/>
    <xf numFmtId="0" fontId="5" fillId="4" borderId="33" xfId="0" applyFont="1" applyFill="1" applyBorder="1"/>
    <xf numFmtId="0" fontId="5" fillId="4" borderId="12" xfId="0" applyFont="1" applyFill="1" applyBorder="1"/>
    <xf numFmtId="0" fontId="5" fillId="4" borderId="17" xfId="0" applyFont="1" applyFill="1" applyBorder="1"/>
    <xf numFmtId="0" fontId="5" fillId="5" borderId="33" xfId="0" applyFont="1" applyFill="1" applyBorder="1"/>
    <xf numFmtId="0" fontId="5" fillId="5" borderId="12" xfId="0" applyFont="1" applyFill="1" applyBorder="1"/>
    <xf numFmtId="0" fontId="5" fillId="5" borderId="17" xfId="0" applyFont="1" applyFill="1" applyBorder="1"/>
    <xf numFmtId="0" fontId="5" fillId="2" borderId="10" xfId="0" applyFont="1" applyFill="1" applyBorder="1"/>
    <xf numFmtId="0" fontId="5" fillId="2" borderId="13" xfId="0" applyFont="1" applyFill="1" applyBorder="1"/>
    <xf numFmtId="0" fontId="5" fillId="3" borderId="34" xfId="0" applyFont="1" applyFill="1" applyBorder="1"/>
    <xf numFmtId="0" fontId="5" fillId="3" borderId="14" xfId="0" applyFont="1" applyFill="1" applyBorder="1"/>
    <xf numFmtId="0" fontId="5" fillId="3" borderId="13" xfId="0" applyFont="1" applyFill="1" applyBorder="1"/>
    <xf numFmtId="0" fontId="5" fillId="3" borderId="27" xfId="0" applyFont="1" applyFill="1" applyBorder="1"/>
    <xf numFmtId="0" fontId="5" fillId="4" borderId="34" xfId="0" applyFont="1" applyFill="1" applyBorder="1"/>
    <xf numFmtId="0" fontId="5" fillId="4" borderId="14" xfId="0" applyFont="1" applyFill="1" applyBorder="1"/>
    <xf numFmtId="0" fontId="5" fillId="4" borderId="13" xfId="0" applyFont="1" applyFill="1" applyBorder="1"/>
    <xf numFmtId="0" fontId="5" fillId="4" borderId="27" xfId="0" applyFont="1" applyFill="1" applyBorder="1"/>
    <xf numFmtId="0" fontId="5" fillId="5" borderId="34" xfId="0" applyFont="1" applyFill="1" applyBorder="1"/>
    <xf numFmtId="0" fontId="5" fillId="5" borderId="14" xfId="0" applyFont="1" applyFill="1" applyBorder="1"/>
    <xf numFmtId="0" fontId="5" fillId="5" borderId="13" xfId="0" applyFont="1" applyFill="1" applyBorder="1"/>
    <xf numFmtId="0" fontId="5" fillId="5" borderId="27" xfId="0" applyFont="1" applyFill="1" applyBorder="1"/>
    <xf numFmtId="0" fontId="5" fillId="3" borderId="3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/>
    </xf>
    <xf numFmtId="0" fontId="5" fillId="4" borderId="38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/>
    </xf>
    <xf numFmtId="0" fontId="5" fillId="5" borderId="13" xfId="0" applyFont="1" applyFill="1" applyBorder="1" applyAlignment="1">
      <alignment horizontal="right"/>
    </xf>
    <xf numFmtId="0" fontId="5" fillId="5" borderId="38" xfId="0" applyFont="1" applyFill="1" applyBorder="1" applyAlignment="1">
      <alignment horizontal="right"/>
    </xf>
    <xf numFmtId="0" fontId="5" fillId="2" borderId="1" xfId="0" applyFont="1" applyFill="1" applyBorder="1"/>
    <xf numFmtId="0" fontId="5" fillId="3" borderId="35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1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5" fillId="5" borderId="39" xfId="0" applyFont="1" applyFill="1" applyBorder="1" applyAlignment="1">
      <alignment horizontal="right"/>
    </xf>
    <xf numFmtId="0" fontId="5" fillId="2" borderId="22" xfId="0" applyFont="1" applyFill="1" applyBorder="1"/>
    <xf numFmtId="0" fontId="5" fillId="2" borderId="30" xfId="0" applyFont="1" applyFill="1" applyBorder="1"/>
    <xf numFmtId="3" fontId="25" fillId="3" borderId="36" xfId="0" applyNumberFormat="1" applyFont="1" applyFill="1" applyBorder="1"/>
    <xf numFmtId="3" fontId="25" fillId="3" borderId="23" xfId="0" applyNumberFormat="1" applyFont="1" applyFill="1" applyBorder="1"/>
    <xf numFmtId="3" fontId="25" fillId="3" borderId="24" xfId="0" applyNumberFormat="1" applyFont="1" applyFill="1" applyBorder="1"/>
    <xf numFmtId="3" fontId="25" fillId="3" borderId="25" xfId="0" applyNumberFormat="1" applyFont="1" applyFill="1" applyBorder="1"/>
    <xf numFmtId="3" fontId="25" fillId="4" borderId="36" xfId="0" applyNumberFormat="1" applyFont="1" applyFill="1" applyBorder="1"/>
    <xf numFmtId="3" fontId="25" fillId="4" borderId="23" xfId="0" applyNumberFormat="1" applyFont="1" applyFill="1" applyBorder="1"/>
    <xf numFmtId="3" fontId="25" fillId="4" borderId="24" xfId="0" applyNumberFormat="1" applyFont="1" applyFill="1" applyBorder="1"/>
    <xf numFmtId="3" fontId="25" fillId="4" borderId="25" xfId="0" applyNumberFormat="1" applyFont="1" applyFill="1" applyBorder="1"/>
    <xf numFmtId="3" fontId="25" fillId="5" borderId="36" xfId="0" applyNumberFormat="1" applyFont="1" applyFill="1" applyBorder="1"/>
    <xf numFmtId="3" fontId="25" fillId="5" borderId="23" xfId="0" applyNumberFormat="1" applyFont="1" applyFill="1" applyBorder="1"/>
    <xf numFmtId="3" fontId="25" fillId="5" borderId="24" xfId="0" applyNumberFormat="1" applyFont="1" applyFill="1" applyBorder="1"/>
    <xf numFmtId="3" fontId="25" fillId="5" borderId="25" xfId="0" applyNumberFormat="1" applyFont="1" applyFill="1" applyBorder="1"/>
    <xf numFmtId="3" fontId="26" fillId="3" borderId="36" xfId="0" applyNumberFormat="1" applyFont="1" applyFill="1" applyBorder="1" applyAlignment="1">
      <alignment horizontal="right"/>
    </xf>
    <xf numFmtId="3" fontId="26" fillId="3" borderId="40" xfId="0" applyNumberFormat="1" applyFont="1" applyFill="1" applyBorder="1" applyAlignment="1">
      <alignment horizontal="right"/>
    </xf>
    <xf numFmtId="3" fontId="26" fillId="4" borderId="36" xfId="0" applyNumberFormat="1" applyFont="1" applyFill="1" applyBorder="1" applyAlignment="1">
      <alignment horizontal="right"/>
    </xf>
    <xf numFmtId="3" fontId="26" fillId="4" borderId="40" xfId="0" applyNumberFormat="1" applyFont="1" applyFill="1" applyBorder="1" applyAlignment="1">
      <alignment horizontal="right"/>
    </xf>
    <xf numFmtId="3" fontId="26" fillId="5" borderId="36" xfId="0" applyNumberFormat="1" applyFont="1" applyFill="1" applyBorder="1" applyAlignment="1">
      <alignment horizontal="right"/>
    </xf>
    <xf numFmtId="3" fontId="26" fillId="5" borderId="40" xfId="0" applyNumberFormat="1" applyFont="1" applyFill="1" applyBorder="1" applyAlignment="1">
      <alignment horizontal="right"/>
    </xf>
    <xf numFmtId="0" fontId="5" fillId="2" borderId="26" xfId="0" applyFont="1" applyFill="1" applyBorder="1"/>
    <xf numFmtId="0" fontId="5" fillId="2" borderId="9" xfId="0" applyFont="1" applyFill="1" applyBorder="1"/>
    <xf numFmtId="3" fontId="25" fillId="3" borderId="34" xfId="0" applyNumberFormat="1" applyFont="1" applyFill="1" applyBorder="1"/>
    <xf numFmtId="3" fontId="25" fillId="3" borderId="14" xfId="0" applyNumberFormat="1" applyFont="1" applyFill="1" applyBorder="1"/>
    <xf numFmtId="3" fontId="25" fillId="3" borderId="13" xfId="0" applyNumberFormat="1" applyFont="1" applyFill="1" applyBorder="1"/>
    <xf numFmtId="3" fontId="25" fillId="3" borderId="27" xfId="0" applyNumberFormat="1" applyFont="1" applyFill="1" applyBorder="1"/>
    <xf numFmtId="3" fontId="25" fillId="4" borderId="34" xfId="0" applyNumberFormat="1" applyFont="1" applyFill="1" applyBorder="1"/>
    <xf numFmtId="3" fontId="25" fillId="4" borderId="14" xfId="0" applyNumberFormat="1" applyFont="1" applyFill="1" applyBorder="1"/>
    <xf numFmtId="3" fontId="25" fillId="4" borderId="13" xfId="0" applyNumberFormat="1" applyFont="1" applyFill="1" applyBorder="1"/>
    <xf numFmtId="3" fontId="25" fillId="4" borderId="27" xfId="0" applyNumberFormat="1" applyFont="1" applyFill="1" applyBorder="1"/>
    <xf numFmtId="3" fontId="25" fillId="5" borderId="34" xfId="0" applyNumberFormat="1" applyFont="1" applyFill="1" applyBorder="1"/>
    <xf numFmtId="3" fontId="25" fillId="5" borderId="14" xfId="0" applyNumberFormat="1" applyFont="1" applyFill="1" applyBorder="1"/>
    <xf numFmtId="3" fontId="25" fillId="5" borderId="13" xfId="0" applyNumberFormat="1" applyFont="1" applyFill="1" applyBorder="1"/>
    <xf numFmtId="3" fontId="25" fillId="5" borderId="27" xfId="0" applyNumberFormat="1" applyFont="1" applyFill="1" applyBorder="1"/>
    <xf numFmtId="0" fontId="5" fillId="2" borderId="28" xfId="0" applyFont="1" applyFill="1" applyBorder="1"/>
    <xf numFmtId="0" fontId="5" fillId="2" borderId="20" xfId="0" applyFont="1" applyFill="1" applyBorder="1"/>
    <xf numFmtId="3" fontId="25" fillId="3" borderId="37" xfId="0" applyNumberFormat="1" applyFont="1" applyFill="1" applyBorder="1"/>
    <xf numFmtId="3" fontId="25" fillId="3" borderId="18" xfId="0" applyNumberFormat="1" applyFont="1" applyFill="1" applyBorder="1"/>
    <xf numFmtId="3" fontId="25" fillId="3" borderId="19" xfId="0" applyNumberFormat="1" applyFont="1" applyFill="1" applyBorder="1"/>
    <xf numFmtId="3" fontId="25" fillId="3" borderId="29" xfId="0" applyNumberFormat="1" applyFont="1" applyFill="1" applyBorder="1"/>
    <xf numFmtId="3" fontId="25" fillId="4" borderId="37" xfId="0" applyNumberFormat="1" applyFont="1" applyFill="1" applyBorder="1"/>
    <xf numFmtId="3" fontId="25" fillId="4" borderId="18" xfId="0" applyNumberFormat="1" applyFont="1" applyFill="1" applyBorder="1"/>
    <xf numFmtId="3" fontId="25" fillId="4" borderId="19" xfId="0" applyNumberFormat="1" applyFont="1" applyFill="1" applyBorder="1"/>
    <xf numFmtId="3" fontId="25" fillId="4" borderId="29" xfId="0" applyNumberFormat="1" applyFont="1" applyFill="1" applyBorder="1"/>
    <xf numFmtId="3" fontId="25" fillId="5" borderId="37" xfId="0" applyNumberFormat="1" applyFont="1" applyFill="1" applyBorder="1"/>
    <xf numFmtId="3" fontId="25" fillId="5" borderId="18" xfId="0" applyNumberFormat="1" applyFont="1" applyFill="1" applyBorder="1"/>
    <xf numFmtId="3" fontId="25" fillId="5" borderId="19" xfId="0" applyNumberFormat="1" applyFont="1" applyFill="1" applyBorder="1"/>
    <xf numFmtId="3" fontId="25" fillId="5" borderId="29" xfId="0" applyNumberFormat="1" applyFont="1" applyFill="1" applyBorder="1"/>
    <xf numFmtId="3" fontId="26" fillId="3" borderId="41" xfId="0" applyNumberFormat="1" applyFont="1" applyFill="1" applyBorder="1" applyAlignment="1">
      <alignment horizontal="right"/>
    </xf>
    <xf numFmtId="3" fontId="26" fillId="3" borderId="21" xfId="0" applyNumberFormat="1" applyFont="1" applyFill="1" applyBorder="1" applyAlignment="1">
      <alignment horizontal="right"/>
    </xf>
    <xf numFmtId="3" fontId="26" fillId="4" borderId="41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5" borderId="41" xfId="0" applyNumberFormat="1" applyFont="1" applyFill="1" applyBorder="1" applyAlignment="1">
      <alignment horizontal="right"/>
    </xf>
    <xf numFmtId="3" fontId="26" fillId="5" borderId="21" xfId="0" applyNumberFormat="1" applyFont="1" applyFill="1" applyBorder="1" applyAlignment="1">
      <alignment horizontal="right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44" xfId="0" applyFont="1" applyFill="1" applyBorder="1"/>
    <xf numFmtId="0" fontId="5" fillId="2" borderId="45" xfId="0" applyFont="1" applyFill="1" applyBorder="1"/>
    <xf numFmtId="0" fontId="5" fillId="2" borderId="34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3" fontId="26" fillId="2" borderId="36" xfId="0" applyNumberFormat="1" applyFont="1" applyFill="1" applyBorder="1"/>
    <xf numFmtId="3" fontId="26" fillId="2" borderId="30" xfId="0" applyNumberFormat="1" applyFont="1" applyFill="1" applyBorder="1"/>
    <xf numFmtId="3" fontId="26" fillId="2" borderId="25" xfId="0" applyNumberFormat="1" applyFont="1" applyFill="1" applyBorder="1"/>
    <xf numFmtId="3" fontId="26" fillId="2" borderId="41" xfId="0" applyNumberFormat="1" applyFont="1" applyFill="1" applyBorder="1"/>
    <xf numFmtId="3" fontId="26" fillId="2" borderId="42" xfId="0" applyNumberFormat="1" applyFont="1" applyFill="1" applyBorder="1"/>
    <xf numFmtId="3" fontId="26" fillId="2" borderId="43" xfId="0" applyNumberFormat="1" applyFont="1" applyFill="1" applyBorder="1"/>
    <xf numFmtId="0" fontId="20" fillId="0" borderId="0" xfId="0" applyFont="1"/>
    <xf numFmtId="0" fontId="5" fillId="0" borderId="0" xfId="0" applyFont="1"/>
    <xf numFmtId="0" fontId="5" fillId="0" borderId="0" xfId="149" applyFont="1"/>
    <xf numFmtId="0" fontId="5" fillId="0" borderId="0" xfId="119" applyFont="1" applyFill="1" applyBorder="1"/>
    <xf numFmtId="0" fontId="20" fillId="2" borderId="0" xfId="0" applyFont="1" applyFill="1"/>
    <xf numFmtId="0" fontId="5" fillId="2" borderId="0" xfId="0" applyFont="1" applyFill="1" applyAlignment="1">
      <alignment horizontal="left" vertical="top"/>
    </xf>
    <xf numFmtId="167" fontId="5" fillId="2" borderId="10" xfId="0" applyNumberFormat="1" applyFont="1" applyFill="1" applyBorder="1"/>
    <xf numFmtId="167" fontId="26" fillId="2" borderId="10" xfId="0" applyNumberFormat="1" applyFont="1" applyFill="1" applyBorder="1"/>
    <xf numFmtId="0" fontId="26" fillId="2" borderId="10" xfId="0" applyFont="1" applyFill="1" applyBorder="1"/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25" fillId="2" borderId="10" xfId="0" applyFont="1" applyFill="1" applyBorder="1"/>
    <xf numFmtId="0" fontId="38" fillId="2" borderId="10" xfId="0" applyFont="1" applyFill="1" applyBorder="1"/>
    <xf numFmtId="0" fontId="5" fillId="2" borderId="13" xfId="0" applyFont="1" applyFill="1" applyBorder="1" applyAlignment="1">
      <alignment horizontal="left" vertical="top"/>
    </xf>
    <xf numFmtId="0" fontId="38" fillId="2" borderId="14" xfId="0" applyFont="1" applyFill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167" fontId="18" fillId="2" borderId="10" xfId="0" applyNumberFormat="1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2" fontId="5" fillId="2" borderId="0" xfId="0" applyNumberFormat="1" applyFont="1" applyFill="1"/>
    <xf numFmtId="0" fontId="41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5" fillId="0" borderId="0" xfId="0" applyFont="1" applyAlignment="1">
      <alignment horizontal="right" vertical="center"/>
    </xf>
    <xf numFmtId="2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 vertical="top" wrapText="1"/>
    </xf>
    <xf numFmtId="0" fontId="41" fillId="0" borderId="0" xfId="0" applyFont="1" applyAlignment="1">
      <alignment horizontal="right" vertical="top"/>
    </xf>
    <xf numFmtId="0" fontId="45" fillId="0" borderId="0" xfId="0" applyFont="1" applyAlignment="1">
      <alignment horizontal="right" vertical="top"/>
    </xf>
    <xf numFmtId="14" fontId="43" fillId="0" borderId="0" xfId="0" applyNumberFormat="1" applyFont="1"/>
    <xf numFmtId="0" fontId="41" fillId="0" borderId="0" xfId="0" applyFont="1" applyAlignment="1">
      <alignment horizontal="right" wrapText="1"/>
    </xf>
    <xf numFmtId="14" fontId="41" fillId="0" borderId="0" xfId="0" applyNumberFormat="1" applyFont="1" applyAlignment="1">
      <alignment horizontal="right" vertical="top"/>
    </xf>
    <xf numFmtId="3" fontId="43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 wrapText="1"/>
    </xf>
    <xf numFmtId="0" fontId="41" fillId="10" borderId="0" xfId="0" applyFont="1" applyFill="1" applyAlignment="1">
      <alignment horizontal="right" vertical="top" wrapText="1"/>
    </xf>
    <xf numFmtId="0" fontId="46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2" fontId="41" fillId="0" borderId="0" xfId="0" applyNumberFormat="1" applyFont="1" applyAlignment="1">
      <alignment horizontal="right" vertical="top" wrapText="1"/>
    </xf>
    <xf numFmtId="167" fontId="41" fillId="0" borderId="0" xfId="0" applyNumberFormat="1" applyFont="1" applyAlignment="1">
      <alignment horizontal="right" vertical="top" wrapText="1"/>
    </xf>
    <xf numFmtId="3" fontId="41" fillId="0" borderId="0" xfId="0" applyNumberFormat="1" applyFont="1" applyAlignment="1">
      <alignment horizontal="right" vertical="top" wrapText="1"/>
    </xf>
    <xf numFmtId="0" fontId="41" fillId="10" borderId="0" xfId="0" applyFont="1" applyFill="1" applyAlignment="1">
      <alignment horizontal="right"/>
    </xf>
    <xf numFmtId="1" fontId="43" fillId="0" borderId="0" xfId="0" applyNumberFormat="1" applyFont="1"/>
    <xf numFmtId="0" fontId="43" fillId="0" borderId="0" xfId="0" applyFont="1"/>
    <xf numFmtId="0" fontId="41" fillId="0" borderId="0" xfId="0" applyFont="1" applyAlignment="1">
      <alignment horizontal="right" vertical="top" textRotation="180"/>
    </xf>
    <xf numFmtId="0" fontId="41" fillId="0" borderId="0" xfId="0" applyFont="1"/>
    <xf numFmtId="0" fontId="41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45" fillId="0" borderId="0" xfId="0" applyFont="1" applyAlignment="1">
      <alignment horizontal="left" vertical="top"/>
    </xf>
    <xf numFmtId="0" fontId="41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1" fillId="0" borderId="0" xfId="0" applyFont="1" applyAlignment="1">
      <alignment horizontal="left" vertical="top"/>
    </xf>
    <xf numFmtId="0" fontId="41" fillId="10" borderId="0" xfId="0" applyFont="1" applyFill="1" applyAlignment="1">
      <alignment horizontal="left" vertical="top" wrapText="1"/>
    </xf>
    <xf numFmtId="0" fontId="45" fillId="0" borderId="0" xfId="0" applyFont="1" applyAlignment="1">
      <alignment horizontal="left" vertical="center" wrapText="1"/>
    </xf>
    <xf numFmtId="0" fontId="41" fillId="10" borderId="0" xfId="0" applyFont="1" applyFill="1"/>
    <xf numFmtId="0" fontId="45" fillId="0" borderId="0" xfId="0" applyFont="1" applyAlignment="1">
      <alignment horizontal="left" vertical="top" wrapText="1"/>
    </xf>
    <xf numFmtId="0" fontId="14" fillId="0" borderId="0" xfId="0" applyFont="1"/>
    <xf numFmtId="0" fontId="16" fillId="5" borderId="0" xfId="149" applyFont="1" applyFill="1" applyAlignment="1">
      <alignment horizontal="left" vertical="top" wrapText="1"/>
    </xf>
    <xf numFmtId="3" fontId="18" fillId="2" borderId="13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3" fontId="11" fillId="3" borderId="36" xfId="0" applyNumberFormat="1" applyFont="1" applyFill="1" applyBorder="1" applyAlignment="1">
      <alignment horizontal="center" vertical="center"/>
    </xf>
    <xf numFmtId="3" fontId="11" fillId="3" borderId="4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3" fontId="11" fillId="3" borderId="41" xfId="0" applyNumberFormat="1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3" fontId="11" fillId="4" borderId="36" xfId="0" applyNumberFormat="1" applyFont="1" applyFill="1" applyBorder="1" applyAlignment="1">
      <alignment horizontal="center" vertical="center"/>
    </xf>
    <xf numFmtId="3" fontId="11" fillId="4" borderId="40" xfId="0" applyNumberFormat="1" applyFont="1" applyFill="1" applyBorder="1" applyAlignment="1">
      <alignment horizontal="center" vertical="center"/>
    </xf>
    <xf numFmtId="3" fontId="11" fillId="4" borderId="41" xfId="0" applyNumberFormat="1" applyFont="1" applyFill="1" applyBorder="1" applyAlignment="1">
      <alignment horizontal="center" vertical="center"/>
    </xf>
    <xf numFmtId="3" fontId="11" fillId="4" borderId="2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3" fontId="11" fillId="5" borderId="36" xfId="0" applyNumberFormat="1" applyFont="1" applyFill="1" applyBorder="1" applyAlignment="1">
      <alignment horizontal="center" vertical="center"/>
    </xf>
    <xf numFmtId="3" fontId="11" fillId="5" borderId="40" xfId="0" applyNumberFormat="1" applyFont="1" applyFill="1" applyBorder="1" applyAlignment="1">
      <alignment horizontal="center" vertical="center"/>
    </xf>
    <xf numFmtId="3" fontId="11" fillId="5" borderId="41" xfId="0" applyNumberFormat="1" applyFont="1" applyFill="1" applyBorder="1" applyAlignment="1">
      <alignment horizontal="center" vertical="center"/>
    </xf>
    <xf numFmtId="3" fontId="11" fillId="5" borderId="21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46" fillId="0" borderId="0" xfId="0" applyFont="1" applyAlignment="1">
      <alignment horizontal="right" vertical="top" wrapText="1"/>
    </xf>
    <xf numFmtId="0" fontId="51" fillId="0" borderId="0" xfId="0" applyFont="1" applyAlignment="1">
      <alignment vertical="top"/>
    </xf>
    <xf numFmtId="14" fontId="51" fillId="0" borderId="0" xfId="0" applyNumberFormat="1" applyFont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left" vertical="top" wrapText="1"/>
    </xf>
    <xf numFmtId="0" fontId="0" fillId="2" borderId="0" xfId="0" applyFill="1" applyProtection="1">
      <protection locked="0"/>
    </xf>
    <xf numFmtId="0" fontId="0" fillId="2" borderId="10" xfId="0" applyFill="1" applyBorder="1"/>
    <xf numFmtId="0" fontId="0" fillId="2" borderId="0" xfId="0" applyFill="1"/>
    <xf numFmtId="17" fontId="52" fillId="2" borderId="10" xfId="0" applyNumberFormat="1" applyFont="1" applyFill="1" applyBorder="1"/>
    <xf numFmtId="0" fontId="52" fillId="2" borderId="10" xfId="0" applyFont="1" applyFill="1" applyBorder="1"/>
    <xf numFmtId="14" fontId="0" fillId="2" borderId="10" xfId="0" applyNumberFormat="1" applyFill="1" applyBorder="1"/>
    <xf numFmtId="14" fontId="42" fillId="9" borderId="0" xfId="151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46" fillId="0" borderId="0" xfId="0" applyNumberFormat="1" applyFont="1" applyAlignment="1">
      <alignment horizontal="right"/>
    </xf>
    <xf numFmtId="49" fontId="41" fillId="0" borderId="0" xfId="0" applyNumberFormat="1" applyFont="1" applyAlignment="1">
      <alignment horizontal="right" vertical="top" wrapText="1"/>
    </xf>
    <xf numFmtId="49" fontId="41" fillId="0" borderId="0" xfId="0" applyNumberFormat="1" applyFont="1" applyAlignment="1">
      <alignment horizontal="right" vertical="top"/>
    </xf>
    <xf numFmtId="3" fontId="41" fillId="0" borderId="0" xfId="0" applyNumberFormat="1" applyFont="1" applyAlignment="1">
      <alignment horizontal="right" vertical="top"/>
    </xf>
    <xf numFmtId="0" fontId="5" fillId="0" borderId="0" xfId="0" applyFont="1" applyProtection="1">
      <protection locked="0"/>
    </xf>
    <xf numFmtId="3" fontId="41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" fontId="41" fillId="0" borderId="0" xfId="0" applyNumberFormat="1" applyFont="1" applyAlignment="1">
      <alignment horizontal="right"/>
    </xf>
    <xf numFmtId="167" fontId="41" fillId="0" borderId="0" xfId="150" applyNumberFormat="1" applyFont="1" applyAlignment="1">
      <alignment horizontal="right"/>
    </xf>
    <xf numFmtId="9" fontId="41" fillId="0" borderId="0" xfId="150" applyFont="1"/>
    <xf numFmtId="0" fontId="46" fillId="0" borderId="0" xfId="0" applyFont="1" applyAlignment="1">
      <alignment vertical="top" wrapText="1"/>
    </xf>
    <xf numFmtId="14" fontId="42" fillId="0" borderId="0" xfId="0" applyNumberFormat="1" applyFont="1" applyAlignment="1">
      <alignment horizontal="right"/>
    </xf>
    <xf numFmtId="14" fontId="42" fillId="0" borderId="0" xfId="151" applyNumberFormat="1" applyFont="1" applyFill="1" applyAlignment="1">
      <alignment horizontal="right"/>
    </xf>
    <xf numFmtId="0" fontId="56" fillId="0" borderId="0" xfId="0" applyFont="1" applyAlignment="1">
      <alignment vertical="top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2" borderId="0" xfId="0" applyNumberFormat="1" applyFill="1"/>
    <xf numFmtId="0" fontId="56" fillId="0" borderId="0" xfId="0" applyFont="1" applyAlignment="1">
      <alignment horizontal="left" vertical="top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right" vertical="center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10" xfId="0" applyNumberFormat="1" applyFont="1" applyFill="1" applyBorder="1" applyAlignment="1" applyProtection="1">
      <alignment vertical="center"/>
      <protection locked="0"/>
    </xf>
    <xf numFmtId="3" fontId="5" fillId="2" borderId="10" xfId="0" applyNumberFormat="1" applyFont="1" applyFill="1" applyBorder="1" applyAlignment="1" applyProtection="1">
      <alignment vertical="center"/>
    </xf>
    <xf numFmtId="165" fontId="5" fillId="2" borderId="10" xfId="0" applyNumberFormat="1" applyFont="1" applyFill="1" applyBorder="1" applyAlignment="1" applyProtection="1">
      <alignment vertical="center"/>
    </xf>
    <xf numFmtId="3" fontId="5" fillId="2" borderId="13" xfId="0" applyNumberFormat="1" applyFont="1" applyFill="1" applyBorder="1" applyAlignment="1" applyProtection="1">
      <alignment vertical="center"/>
    </xf>
    <xf numFmtId="167" fontId="5" fillId="2" borderId="14" xfId="150" applyNumberFormat="1" applyFont="1" applyFill="1" applyBorder="1" applyAlignment="1" applyProtection="1">
      <alignment vertical="center"/>
    </xf>
    <xf numFmtId="165" fontId="5" fillId="2" borderId="14" xfId="0" applyNumberFormat="1" applyFont="1" applyFill="1" applyBorder="1" applyAlignment="1" applyProtection="1">
      <alignment vertical="center"/>
    </xf>
    <xf numFmtId="3" fontId="5" fillId="2" borderId="14" xfId="0" applyNumberFormat="1" applyFont="1" applyFill="1" applyBorder="1" applyAlignment="1" applyProtection="1">
      <alignment vertical="center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3" fontId="21" fillId="3" borderId="10" xfId="0" applyNumberFormat="1" applyFont="1" applyFill="1" applyBorder="1" applyAlignment="1" applyProtection="1">
      <alignment vertical="center"/>
      <protection locked="0"/>
    </xf>
    <xf numFmtId="3" fontId="21" fillId="2" borderId="10" xfId="0" applyNumberFormat="1" applyFont="1" applyFill="1" applyBorder="1" applyAlignment="1" applyProtection="1">
      <alignment vertical="center"/>
    </xf>
    <xf numFmtId="3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168" fontId="5" fillId="3" borderId="0" xfId="0" applyNumberFormat="1" applyFont="1" applyFill="1" applyAlignment="1" applyProtection="1">
      <alignment vertical="center"/>
      <protection locked="0"/>
    </xf>
    <xf numFmtId="3" fontId="5" fillId="3" borderId="0" xfId="0" applyNumberFormat="1" applyFont="1" applyFill="1" applyAlignment="1" applyProtection="1">
      <alignment vertical="center"/>
      <protection locked="0"/>
    </xf>
    <xf numFmtId="168" fontId="5" fillId="3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vertical="center"/>
      <protection locked="0"/>
    </xf>
    <xf numFmtId="168" fontId="5" fillId="3" borderId="0" xfId="119" applyNumberFormat="1" applyFont="1" applyFill="1" applyBorder="1" applyProtection="1">
      <protection locked="0"/>
    </xf>
    <xf numFmtId="9" fontId="11" fillId="2" borderId="0" xfId="150" applyFont="1" applyFill="1" applyBorder="1" applyAlignment="1" applyProtection="1">
      <alignment vertical="center"/>
    </xf>
    <xf numFmtId="0" fontId="5" fillId="4" borderId="0" xfId="0" applyFont="1" applyFill="1" applyAlignment="1" applyProtection="1">
      <alignment horizontal="left" vertical="center"/>
      <protection locked="0"/>
    </xf>
    <xf numFmtId="3" fontId="23" fillId="2" borderId="10" xfId="0" applyNumberFormat="1" applyFont="1" applyFill="1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</xf>
    <xf numFmtId="166" fontId="5" fillId="2" borderId="0" xfId="150" applyNumberFormat="1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5" fontId="11" fillId="2" borderId="0" xfId="0" applyNumberFormat="1" applyFont="1" applyFill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167" fontId="5" fillId="2" borderId="10" xfId="0" applyNumberFormat="1" applyFont="1" applyFill="1" applyBorder="1" applyAlignment="1" applyProtection="1">
      <alignment vertical="center"/>
    </xf>
    <xf numFmtId="165" fontId="11" fillId="3" borderId="0" xfId="0" applyNumberFormat="1" applyFont="1" applyFill="1" applyAlignment="1" applyProtection="1">
      <alignment vertical="center"/>
      <protection locked="0"/>
    </xf>
    <xf numFmtId="167" fontId="5" fillId="2" borderId="0" xfId="0" applyNumberFormat="1" applyFont="1" applyFill="1" applyAlignment="1" applyProtection="1">
      <alignment vertical="center"/>
    </xf>
    <xf numFmtId="16" fontId="5" fillId="2" borderId="0" xfId="0" applyNumberFormat="1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vertical="center"/>
      <protection hidden="1"/>
    </xf>
    <xf numFmtId="0" fontId="55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17" fillId="2" borderId="7" xfId="0" applyFont="1" applyFill="1" applyBorder="1" applyAlignment="1" applyProtection="1">
      <alignment vertical="center"/>
      <protection hidden="1"/>
    </xf>
    <xf numFmtId="0" fontId="12" fillId="2" borderId="7" xfId="0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horizontal="right" vertical="top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6" fillId="2" borderId="1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Protection="1">
      <protection hidden="1"/>
    </xf>
    <xf numFmtId="0" fontId="23" fillId="2" borderId="2" xfId="0" applyFont="1" applyFill="1" applyBorder="1" applyProtection="1">
      <protection hidden="1"/>
    </xf>
    <xf numFmtId="0" fontId="23" fillId="2" borderId="1" xfId="0" applyFont="1" applyFill="1" applyBorder="1" applyAlignment="1" applyProtection="1">
      <alignment horizontal="left"/>
      <protection hidden="1"/>
    </xf>
    <xf numFmtId="0" fontId="23" fillId="2" borderId="3" xfId="0" applyFont="1" applyFill="1" applyBorder="1" applyAlignment="1" applyProtection="1">
      <alignment horizontal="left"/>
      <protection hidden="1"/>
    </xf>
    <xf numFmtId="0" fontId="23" fillId="2" borderId="11" xfId="0" applyFont="1" applyFill="1" applyBorder="1" applyProtection="1">
      <protection hidden="1"/>
    </xf>
    <xf numFmtId="0" fontId="23" fillId="2" borderId="11" xfId="0" applyFont="1" applyFill="1" applyBorder="1" applyAlignment="1" applyProtection="1">
      <alignment horizontal="right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vertical="center"/>
      <protection hidden="1"/>
    </xf>
    <xf numFmtId="0" fontId="26" fillId="2" borderId="4" xfId="0" applyFont="1" applyFill="1" applyBorder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top"/>
      <protection hidden="1"/>
    </xf>
    <xf numFmtId="0" fontId="23" fillId="2" borderId="4" xfId="0" applyFont="1" applyFill="1" applyBorder="1" applyAlignment="1" applyProtection="1">
      <alignment vertical="top"/>
      <protection hidden="1"/>
    </xf>
    <xf numFmtId="0" fontId="23" fillId="2" borderId="0" xfId="0" applyFont="1" applyFill="1" applyAlignment="1" applyProtection="1">
      <alignment vertical="top"/>
      <protection hidden="1"/>
    </xf>
    <xf numFmtId="0" fontId="23" fillId="2" borderId="4" xfId="0" applyFont="1" applyFill="1" applyBorder="1" applyAlignment="1" applyProtection="1">
      <alignment horizontal="left" vertical="top"/>
      <protection hidden="1"/>
    </xf>
    <xf numFmtId="0" fontId="23" fillId="2" borderId="5" xfId="0" applyFont="1" applyFill="1" applyBorder="1" applyAlignment="1" applyProtection="1">
      <alignment horizontal="left" vertical="top"/>
      <protection hidden="1"/>
    </xf>
    <xf numFmtId="0" fontId="23" fillId="2" borderId="15" xfId="0" applyFont="1" applyFill="1" applyBorder="1" applyAlignment="1" applyProtection="1">
      <alignment vertical="top"/>
      <protection hidden="1"/>
    </xf>
    <xf numFmtId="0" fontId="23" fillId="2" borderId="15" xfId="0" applyFont="1" applyFill="1" applyBorder="1" applyAlignment="1" applyProtection="1">
      <alignment horizontal="right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49" fontId="5" fillId="2" borderId="0" xfId="0" applyNumberFormat="1" applyFont="1" applyFill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horizontal="right" vertical="center"/>
      <protection hidden="1"/>
    </xf>
    <xf numFmtId="0" fontId="23" fillId="2" borderId="12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right" vertical="center"/>
      <protection hidden="1"/>
    </xf>
    <xf numFmtId="0" fontId="23" fillId="2" borderId="7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8" xfId="0" applyFont="1" applyFill="1" applyBorder="1" applyAlignment="1" applyProtection="1">
      <alignment horizontal="left" vertical="center"/>
      <protection hidden="1"/>
    </xf>
    <xf numFmtId="0" fontId="23" fillId="2" borderId="12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right" vertical="center"/>
      <protection hidden="1"/>
    </xf>
    <xf numFmtId="3" fontId="5" fillId="2" borderId="13" xfId="0" applyNumberFormat="1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7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" fontId="5" fillId="2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vertical="center"/>
      <protection hidden="1"/>
    </xf>
    <xf numFmtId="0" fontId="21" fillId="2" borderId="3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right" vertical="center"/>
      <protection hidden="1"/>
    </xf>
    <xf numFmtId="0" fontId="20" fillId="2" borderId="5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3" fontId="5" fillId="2" borderId="0" xfId="0" applyNumberFormat="1" applyFont="1" applyFill="1" applyAlignment="1" applyProtection="1">
      <alignment horizontal="right" vertical="center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2" borderId="0" xfId="119" applyNumberFormat="1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vertical="center"/>
      <protection hidden="1"/>
    </xf>
    <xf numFmtId="0" fontId="21" fillId="2" borderId="8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" xfId="0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vertical="center"/>
      <protection hidden="1"/>
    </xf>
    <xf numFmtId="164" fontId="29" fillId="2" borderId="0" xfId="1" applyNumberFormat="1" applyFont="1" applyFill="1" applyBorder="1" applyAlignment="1" applyProtection="1">
      <alignment vertical="center"/>
      <protection hidden="1"/>
    </xf>
    <xf numFmtId="0" fontId="21" fillId="2" borderId="6" xfId="0" applyFont="1" applyFill="1" applyBorder="1" applyAlignment="1" applyProtection="1">
      <alignment vertical="center"/>
      <protection hidden="1"/>
    </xf>
    <xf numFmtId="0" fontId="21" fillId="2" borderId="7" xfId="0" applyFont="1" applyFill="1" applyBorder="1" applyAlignment="1" applyProtection="1">
      <alignment horizontal="right" vertical="center"/>
      <protection hidden="1"/>
    </xf>
    <xf numFmtId="3" fontId="21" fillId="2" borderId="9" xfId="0" applyNumberFormat="1" applyFont="1" applyFill="1" applyBorder="1" applyAlignment="1" applyProtection="1">
      <alignment vertical="center"/>
      <protection hidden="1"/>
    </xf>
    <xf numFmtId="0" fontId="21" fillId="2" borderId="14" xfId="0" applyFont="1" applyFill="1" applyBorder="1" applyAlignment="1" applyProtection="1">
      <alignment horizontal="right" vertical="center"/>
      <protection hidden="1"/>
    </xf>
    <xf numFmtId="164" fontId="5" fillId="0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3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vertical="center"/>
      <protection hidden="1"/>
    </xf>
    <xf numFmtId="0" fontId="18" fillId="2" borderId="2" xfId="0" applyFont="1" applyFill="1" applyBorder="1" applyAlignment="1" applyProtection="1">
      <alignment vertical="center"/>
      <protection hidden="1"/>
    </xf>
    <xf numFmtId="49" fontId="5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5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right"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3" fillId="2" borderId="14" xfId="0" applyFont="1" applyFill="1" applyBorder="1" applyAlignment="1" applyProtection="1">
      <alignment horizontal="right" vertical="center"/>
      <protection hidden="1"/>
    </xf>
    <xf numFmtId="0" fontId="23" fillId="2" borderId="10" xfId="0" applyFont="1" applyFill="1" applyBorder="1" applyAlignment="1" applyProtection="1">
      <alignment vertical="center"/>
      <protection hidden="1"/>
    </xf>
    <xf numFmtId="0" fontId="26" fillId="2" borderId="2" xfId="0" applyFont="1" applyFill="1" applyBorder="1" applyAlignment="1" applyProtection="1">
      <alignment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3" fontId="23" fillId="2" borderId="0" xfId="0" applyNumberFormat="1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164" fontId="5" fillId="2" borderId="0" xfId="1" applyNumberFormat="1" applyFont="1" applyFill="1" applyBorder="1" applyAlignment="1" applyProtection="1">
      <alignment horizontal="left" vertical="center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22" fillId="2" borderId="6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12" fillId="2" borderId="8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Alignment="1" applyProtection="1">
      <alignment vertical="center"/>
      <protection hidden="1"/>
    </xf>
    <xf numFmtId="0" fontId="23" fillId="2" borderId="3" xfId="0" applyFont="1" applyFill="1" applyBorder="1" applyAlignment="1" applyProtection="1">
      <alignment vertical="center"/>
      <protection hidden="1"/>
    </xf>
    <xf numFmtId="0" fontId="35" fillId="2" borderId="1" xfId="0" applyFont="1" applyFill="1" applyBorder="1" applyAlignment="1" applyProtection="1">
      <alignment vertical="center"/>
      <protection hidden="1"/>
    </xf>
    <xf numFmtId="0" fontId="35" fillId="2" borderId="2" xfId="0" applyFont="1" applyFill="1" applyBorder="1" applyAlignment="1" applyProtection="1">
      <alignment vertical="center"/>
      <protection hidden="1"/>
    </xf>
    <xf numFmtId="0" fontId="35" fillId="2" borderId="3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center"/>
      <protection hidden="1"/>
    </xf>
    <xf numFmtId="0" fontId="21" fillId="2" borderId="15" xfId="0" applyFont="1" applyFill="1" applyBorder="1" applyAlignment="1" applyProtection="1">
      <alignment horizontal="center"/>
      <protection hidden="1"/>
    </xf>
    <xf numFmtId="0" fontId="36" fillId="2" borderId="15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Protection="1">
      <protection hidden="1"/>
    </xf>
    <xf numFmtId="0" fontId="23" fillId="2" borderId="5" xfId="0" applyFont="1" applyFill="1" applyBorder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17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21" fillId="2" borderId="12" xfId="0" applyFont="1" applyFill="1" applyBorder="1" applyAlignment="1" applyProtection="1">
      <alignment horizontal="center" vertical="top"/>
      <protection hidden="1"/>
    </xf>
    <xf numFmtId="0" fontId="36" fillId="2" borderId="12" xfId="0" applyFont="1" applyFill="1" applyBorder="1" applyAlignment="1" applyProtection="1">
      <alignment horizontal="center" vertical="top"/>
      <protection hidden="1"/>
    </xf>
    <xf numFmtId="0" fontId="21" fillId="2" borderId="12" xfId="0" applyFont="1" applyFill="1" applyBorder="1" applyAlignment="1" applyProtection="1">
      <alignment vertical="top"/>
      <protection hidden="1"/>
    </xf>
    <xf numFmtId="0" fontId="23" fillId="2" borderId="7" xfId="0" applyFont="1" applyFill="1" applyBorder="1" applyAlignment="1" applyProtection="1">
      <alignment vertical="top"/>
      <protection hidden="1"/>
    </xf>
    <xf numFmtId="0" fontId="23" fillId="2" borderId="8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 vertical="top"/>
      <protection hidden="1"/>
    </xf>
    <xf numFmtId="0" fontId="5" fillId="2" borderId="13" xfId="0" applyFont="1" applyFill="1" applyBorder="1" applyAlignment="1" applyProtection="1">
      <alignment horizontal="left" vertical="top"/>
      <protection hidden="1"/>
    </xf>
    <xf numFmtId="0" fontId="5" fillId="2" borderId="9" xfId="0" applyFont="1" applyFill="1" applyBorder="1" applyAlignment="1" applyProtection="1">
      <alignment horizontal="left" vertical="center"/>
      <protection hidden="1"/>
    </xf>
    <xf numFmtId="0" fontId="5" fillId="2" borderId="9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right" vertical="center"/>
      <protection hidden="1"/>
    </xf>
    <xf numFmtId="0" fontId="20" fillId="2" borderId="10" xfId="0" applyFont="1" applyFill="1" applyBorder="1" applyAlignment="1" applyProtection="1">
      <alignment horizontal="center" vertical="center"/>
      <protection hidden="1"/>
    </xf>
    <xf numFmtId="0" fontId="20" fillId="2" borderId="11" xfId="0" applyFont="1" applyFill="1" applyBorder="1" applyAlignment="1" applyProtection="1">
      <alignment horizontal="right" vertical="center"/>
      <protection hidden="1"/>
    </xf>
    <xf numFmtId="3" fontId="36" fillId="2" borderId="10" xfId="0" applyNumberFormat="1" applyFont="1" applyFill="1" applyBorder="1" applyAlignment="1" applyProtection="1">
      <alignment horizontal="right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horizontal="right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left" vertical="top"/>
      <protection hidden="1"/>
    </xf>
    <xf numFmtId="0" fontId="5" fillId="2" borderId="5" xfId="0" applyFont="1" applyFill="1" applyBorder="1" applyAlignment="1" applyProtection="1">
      <alignment horizontal="left" vertical="top"/>
      <protection hidden="1"/>
    </xf>
    <xf numFmtId="0" fontId="14" fillId="7" borderId="0" xfId="0" applyFont="1" applyFill="1" applyAlignment="1" applyProtection="1">
      <alignment horizontal="left" vertical="top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22" fillId="7" borderId="0" xfId="0" applyFont="1" applyFill="1" applyAlignment="1" applyProtection="1">
      <alignment vertical="center"/>
      <protection hidden="1"/>
    </xf>
    <xf numFmtId="0" fontId="26" fillId="7" borderId="0" xfId="0" applyFont="1" applyFill="1" applyAlignment="1" applyProtection="1">
      <alignment vertical="center"/>
      <protection hidden="1"/>
    </xf>
    <xf numFmtId="0" fontId="54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39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3" fontId="20" fillId="2" borderId="0" xfId="0" applyNumberFormat="1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/>
      <protection hidden="1"/>
    </xf>
    <xf numFmtId="168" fontId="5" fillId="2" borderId="0" xfId="0" applyNumberFormat="1" applyFont="1" applyFill="1" applyAlignment="1" applyProtection="1">
      <alignment vertical="center"/>
    </xf>
    <xf numFmtId="14" fontId="5" fillId="3" borderId="7" xfId="0" applyNumberFormat="1" applyFont="1" applyFill="1" applyBorder="1" applyAlignment="1" applyProtection="1">
      <alignment vertical="center"/>
      <protection locked="0"/>
    </xf>
    <xf numFmtId="0" fontId="5" fillId="2" borderId="0" xfId="119" applyFont="1" applyFill="1" applyBorder="1" applyAlignment="1" applyProtection="1">
      <alignment vertical="center"/>
      <protection hidden="1"/>
    </xf>
    <xf numFmtId="0" fontId="21" fillId="2" borderId="0" xfId="0" applyFont="1" applyFill="1" applyAlignment="1" applyProtection="1">
      <alignment horizontal="left" vertical="center"/>
      <protection hidden="1"/>
    </xf>
    <xf numFmtId="16" fontId="14" fillId="0" borderId="0" xfId="0" applyNumberFormat="1" applyFont="1" applyAlignment="1">
      <alignment horizontal="right"/>
    </xf>
    <xf numFmtId="0" fontId="21" fillId="3" borderId="13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14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49" fontId="5" fillId="3" borderId="0" xfId="0" applyNumberFormat="1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119" applyFont="1" applyFill="1" applyBorder="1" applyAlignment="1" applyProtection="1">
      <alignment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3" fontId="21" fillId="2" borderId="13" xfId="0" applyNumberFormat="1" applyFont="1" applyFill="1" applyBorder="1" applyAlignment="1" applyProtection="1">
      <alignment vertical="center"/>
      <protection locked="0"/>
    </xf>
    <xf numFmtId="3" fontId="21" fillId="2" borderId="9" xfId="0" applyNumberFormat="1" applyFont="1" applyFill="1" applyBorder="1" applyAlignment="1" applyProtection="1">
      <alignment vertical="center"/>
      <protection locked="0"/>
    </xf>
    <xf numFmtId="3" fontId="21" fillId="2" borderId="14" xfId="0" applyNumberFormat="1" applyFont="1" applyFill="1" applyBorder="1" applyAlignment="1" applyProtection="1">
      <alignment vertical="center"/>
      <protection locked="0"/>
    </xf>
    <xf numFmtId="3" fontId="5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vertical="top" wrapText="1"/>
      <protection locked="0" hidden="1"/>
    </xf>
    <xf numFmtId="0" fontId="11" fillId="2" borderId="2" xfId="0" applyFont="1" applyFill="1" applyBorder="1" applyAlignment="1" applyProtection="1">
      <alignment vertical="top" wrapText="1"/>
      <protection locked="0" hidden="1"/>
    </xf>
    <xf numFmtId="0" fontId="11" fillId="2" borderId="3" xfId="0" applyFont="1" applyFill="1" applyBorder="1" applyAlignment="1" applyProtection="1">
      <alignment vertical="top" wrapText="1"/>
      <protection locked="0" hidden="1"/>
    </xf>
    <xf numFmtId="0" fontId="11" fillId="2" borderId="4" xfId="0" applyFont="1" applyFill="1" applyBorder="1" applyAlignment="1" applyProtection="1">
      <alignment vertical="top" wrapText="1"/>
      <protection locked="0" hidden="1"/>
    </xf>
    <xf numFmtId="0" fontId="11" fillId="2" borderId="0" xfId="0" applyFont="1" applyFill="1" applyAlignment="1" applyProtection="1">
      <alignment vertical="top" wrapText="1"/>
      <protection locked="0" hidden="1"/>
    </xf>
    <xf numFmtId="0" fontId="11" fillId="2" borderId="5" xfId="0" applyFont="1" applyFill="1" applyBorder="1" applyAlignment="1" applyProtection="1">
      <alignment vertical="top" wrapText="1"/>
      <protection locked="0" hidden="1"/>
    </xf>
    <xf numFmtId="0" fontId="11" fillId="2" borderId="6" xfId="0" applyFont="1" applyFill="1" applyBorder="1" applyAlignment="1" applyProtection="1">
      <alignment vertical="top" wrapText="1"/>
      <protection locked="0" hidden="1"/>
    </xf>
    <xf numFmtId="0" fontId="11" fillId="2" borderId="7" xfId="0" applyFont="1" applyFill="1" applyBorder="1" applyAlignment="1" applyProtection="1">
      <alignment vertical="top" wrapText="1"/>
      <protection locked="0" hidden="1"/>
    </xf>
    <xf numFmtId="0" fontId="11" fillId="2" borderId="8" xfId="0" applyFont="1" applyFill="1" applyBorder="1" applyAlignment="1" applyProtection="1">
      <alignment vertical="top" wrapText="1"/>
      <protection locked="0" hidden="1"/>
    </xf>
  </cellXfs>
  <cellStyles count="153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5" builtinId="9" hidden="1"/>
    <cellStyle name="Besuchter Hyperlink" xfId="76" builtinId="9" hidden="1"/>
    <cellStyle name="Besuchter Hyperlink" xfId="77" builtinId="9" hidden="1"/>
    <cellStyle name="Besuchter Hyperlink" xfId="78" builtinId="9" hidden="1"/>
    <cellStyle name="Besuchter Hyperlink" xfId="79" builtinId="9" hidden="1"/>
    <cellStyle name="Besuchter Hyperlink" xfId="80" builtinId="9" hidden="1"/>
    <cellStyle name="Besuchter Hyperlink" xfId="81" builtinId="9" hidden="1"/>
    <cellStyle name="Besuchter Hyperlink" xfId="82" builtinId="9" hidden="1"/>
    <cellStyle name="Besuchter Hyperlink" xfId="83" builtinId="9" hidden="1"/>
    <cellStyle name="Besuchter Hyperlink" xfId="84" builtinId="9" hidden="1"/>
    <cellStyle name="Besuchter Hyperlink" xfId="85" builtinId="9" hidden="1"/>
    <cellStyle name="Besuchter Hyperlink" xfId="86" builtinId="9" hidden="1"/>
    <cellStyle name="Besuchter Hyperlink" xfId="87" builtinId="9" hidden="1"/>
    <cellStyle name="Besuchter Hyperlink" xfId="88" builtinId="9" hidden="1"/>
    <cellStyle name="Besuchter Hyperlink" xfId="89" builtinId="9" hidden="1"/>
    <cellStyle name="Besuchter Hyperlink" xfId="91" builtinId="9" hidden="1"/>
    <cellStyle name="Besuchter Hyperlink" xfId="92" builtinId="9" hidden="1"/>
    <cellStyle name="Besuchter Hyperlink" xfId="93" builtinId="9" hidden="1"/>
    <cellStyle name="Besuchter Hyperlink" xfId="94" builtinId="9" hidden="1"/>
    <cellStyle name="Besuchter Hyperlink" xfId="95" builtinId="9" hidden="1"/>
    <cellStyle name="Besuchter Hyperlink" xfId="96" builtinId="9" hidden="1"/>
    <cellStyle name="Besuchter Hyperlink" xfId="97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1" builtinId="9" hidden="1"/>
    <cellStyle name="Besuchter Hyperlink" xfId="122" builtinId="9" hidden="1"/>
    <cellStyle name="Besuchter Hyperlink" xfId="123" builtinId="9" hidden="1"/>
    <cellStyle name="Besuchter Hyperlink" xfId="124" builtinId="9" hidden="1"/>
    <cellStyle name="Besuchter Hyperlink" xfId="125" builtinId="9" hidden="1"/>
    <cellStyle name="Besuchter Hyperlink" xfId="126" builtinId="9" hidden="1"/>
    <cellStyle name="Besuchter Hyperlink" xfId="127" builtinId="9" hidden="1"/>
    <cellStyle name="Besuchter Hyperlink" xfId="128" builtinId="9" hidden="1"/>
    <cellStyle name="Besuchter Hyperlink" xfId="129" builtinId="9" hidden="1"/>
    <cellStyle name="Besuchter Hyperlink" xfId="130" builtinId="9" hidden="1"/>
    <cellStyle name="Besuchter Hyperlink" xfId="131" builtinId="9" hidden="1"/>
    <cellStyle name="Besuchter Hyperlink" xfId="132" builtinId="9" hidden="1"/>
    <cellStyle name="Besuchter Hyperlink" xfId="133" builtinId="9" hidden="1"/>
    <cellStyle name="Besuchter Hyperlink" xfId="134" builtinId="9" hidden="1"/>
    <cellStyle name="Besuchter Hyperlink" xfId="135" builtinId="9" hidden="1"/>
    <cellStyle name="Besuchter Hyperlink" xfId="136" builtinId="9" hidden="1"/>
    <cellStyle name="Besuchter Hyperlink" xfId="137" builtinId="9" hidden="1"/>
    <cellStyle name="Besuchter Hyperlink" xfId="138" builtinId="9" hidden="1"/>
    <cellStyle name="Besuchter Hyperlink" xfId="139" builtinId="9" hidden="1"/>
    <cellStyle name="Besuchter Hyperlink" xfId="140" builtinId="9" hidden="1"/>
    <cellStyle name="Besuchter Hyperlink" xfId="141" builtinId="9" hidden="1"/>
    <cellStyle name="Besuchter Hyperlink" xfId="142" builtinId="9" hidden="1"/>
    <cellStyle name="Besuchter Hyperlink" xfId="143" builtinId="9" hidden="1"/>
    <cellStyle name="Besuchter Hyperlink" xfId="144" builtinId="9" hidden="1"/>
    <cellStyle name="Besuchter Hyperlink" xfId="145" builtinId="9" hidden="1"/>
    <cellStyle name="Besuchter Hyperlink" xfId="146" builtinId="9" hidden="1"/>
    <cellStyle name="Besuchter Hyperlink" xfId="147" builtinId="9" hidden="1"/>
    <cellStyle name="Besuchter Hyperlink" xfId="148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90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customBuiltin="1"/>
    <cellStyle name="Prozent" xfId="150" builtinId="5"/>
    <cellStyle name="Schlecht" xfId="151" builtinId="27"/>
    <cellStyle name="Standard" xfId="0" builtinId="0" customBuiltin="1"/>
    <cellStyle name="Standard 2" xfId="149" xr:uid="{2F36E2BE-184F-4587-BCEA-FB83AF4575FA}"/>
    <cellStyle name="Standard 3" xfId="152" xr:uid="{1078FEA3-5EAA-4058-A95D-6B3694CD35B1}"/>
  </cellStyles>
  <dxfs count="99"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</dxfs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Berechnungen!$Q$83</c:f>
              <c:strCache>
                <c:ptCount val="1"/>
                <c:pt idx="0">
                  <c:v>Heizperiode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8F-48E4-BC9A-34265683C71D}"/>
            </c:ext>
          </c:extLst>
        </c:ser>
        <c:ser>
          <c:idx val="1"/>
          <c:order val="1"/>
          <c:tx>
            <c:strRef>
              <c:f>Berechnungen!$R$83</c:f>
              <c:strCache>
                <c:ptCount val="1"/>
                <c:pt idx="0">
                  <c:v>Ganzjahresbetrieb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8F-48E4-BC9A-34265683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Anschlussdichte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Wärmeverteilverluste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8757477357712"/>
          <c:y val="2.3739095517903909E-2"/>
          <c:w val="0.26602316617739691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Berechnungen!$Q$84</c:f>
              <c:strCache>
                <c:ptCount val="1"/>
                <c:pt idx="0">
                  <c:v>Fonctionnement pendant la période de chauffage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0-4C93-9404-F29F77435088}"/>
            </c:ext>
          </c:extLst>
        </c:ser>
        <c:ser>
          <c:idx val="1"/>
          <c:order val="1"/>
          <c:tx>
            <c:strRef>
              <c:f>Berechnungen!$R$84</c:f>
              <c:strCache>
                <c:ptCount val="1"/>
                <c:pt idx="0">
                  <c:v>Fonctionnement toute l'année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0-4C93-9404-F29F77435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Densité de connexion dans</a:t>
                </a:r>
                <a:r>
                  <a:rPr lang="de-CH" baseline="0"/>
                  <a:t>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Déperditions thermiques du réseau de chaleur en %</a:t>
                </a:r>
              </a:p>
            </c:rich>
          </c:tx>
          <c:layout>
            <c:manualLayout>
              <c:xMode val="edge"/>
              <c:yMode val="edge"/>
              <c:x val="2.9901742872919528E-5"/>
              <c:y val="0.11189324622191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35992128939207"/>
          <c:y val="2.3739095517903909E-2"/>
          <c:w val="0.583420788453644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Berechnungen!$Q$85</c:f>
              <c:strCache>
                <c:ptCount val="1"/>
                <c:pt idx="0">
                  <c:v>Esercizio solo periodo riscaldamento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62-4FE0-8BC7-D51366A2CADE}"/>
            </c:ext>
          </c:extLst>
        </c:ser>
        <c:ser>
          <c:idx val="1"/>
          <c:order val="1"/>
          <c:tx>
            <c:strRef>
              <c:f>Berechnungen!$R$85</c:f>
              <c:strCache>
                <c:ptCount val="1"/>
                <c:pt idx="0">
                  <c:v>Esercizio tutto l'anno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62-4FE0-8BC7-D51366A2C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Densità allacciamento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CH" sz="1000" b="0" i="0" u="none" strike="noStrike" baseline="0">
                    <a:effectLst/>
                  </a:rPr>
                  <a:t>Perdite di calore della rete di teleriscaldamento </a:t>
                </a:r>
                <a:r>
                  <a:rPr lang="de-CH"/>
                  <a:t>in %</a:t>
                </a:r>
              </a:p>
            </c:rich>
          </c:tx>
          <c:layout>
            <c:manualLayout>
              <c:xMode val="edge"/>
              <c:yMode val="edge"/>
              <c:x val="0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816224086109819"/>
          <c:y val="2.3739095517903909E-2"/>
          <c:w val="0.46661846888193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Berechnungen!$Q$86</c:f>
              <c:strCache>
                <c:ptCount val="1"/>
                <c:pt idx="0">
                  <c:v>Heating operation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A-4515-A1F4-4124047385BB}"/>
            </c:ext>
          </c:extLst>
        </c:ser>
        <c:ser>
          <c:idx val="1"/>
          <c:order val="1"/>
          <c:tx>
            <c:strRef>
              <c:f>Berechnungen!$R$86</c:f>
              <c:strCache>
                <c:ptCount val="1"/>
                <c:pt idx="0">
                  <c:v>Year-round operation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AA-4515-A1F4-412404738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Linear heat density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Heat distribution losses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0899677763958"/>
          <c:y val="2.3739095517903909E-2"/>
          <c:w val="0.30157171296539736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5" dropStyle="combo" dx="31" fmlaLink="Dropdown!$A$10" fmlaRange="Dropdown!$A$11:$A$14" noThreeD="1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www.qmholzheizwerke.ch/de/qmmini.html" TargetMode="External"/><Relationship Id="rId1" Type="http://schemas.openxmlformats.org/officeDocument/2006/relationships/image" Target="../media/image1.emf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chart" Target="../charts/chart1.xml"/><Relationship Id="rId1" Type="http://schemas.openxmlformats.org/officeDocument/2006/relationships/image" Target="../media/image12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g"/><Relationship Id="rId13" Type="http://schemas.openxmlformats.org/officeDocument/2006/relationships/image" Target="../media/image23.png"/><Relationship Id="rId3" Type="http://schemas.openxmlformats.org/officeDocument/2006/relationships/image" Target="../media/image1.emf"/><Relationship Id="rId7" Type="http://schemas.openxmlformats.org/officeDocument/2006/relationships/image" Target="../media/image18.png"/><Relationship Id="rId12" Type="http://schemas.openxmlformats.org/officeDocument/2006/relationships/image" Target="../media/image3.emf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2.emf"/><Relationship Id="rId11" Type="http://schemas.openxmlformats.org/officeDocument/2006/relationships/image" Target="../media/image22.jpg"/><Relationship Id="rId5" Type="http://schemas.openxmlformats.org/officeDocument/2006/relationships/image" Target="../media/image17.png"/><Relationship Id="rId10" Type="http://schemas.openxmlformats.org/officeDocument/2006/relationships/image" Target="../media/image21.jpg"/><Relationship Id="rId4" Type="http://schemas.openxmlformats.org/officeDocument/2006/relationships/image" Target="../media/image16.png"/><Relationship Id="rId9" Type="http://schemas.openxmlformats.org/officeDocument/2006/relationships/image" Target="../media/image20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21771</xdr:colOff>
          <xdr:row>1</xdr:row>
          <xdr:rowOff>10886</xdr:rowOff>
        </xdr:from>
        <xdr:to>
          <xdr:col>17</xdr:col>
          <xdr:colOff>87086</xdr:colOff>
          <xdr:row>1</xdr:row>
          <xdr:rowOff>228600</xdr:rowOff>
        </xdr:to>
        <xdr:sp macro="" textlink="">
          <xdr:nvSpPr>
            <xdr:cNvPr id="1028" name="Drop Dow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396334</xdr:colOff>
          <xdr:row>8</xdr:row>
          <xdr:rowOff>906</xdr:rowOff>
        </xdr:from>
        <xdr:to>
          <xdr:col>90</xdr:col>
          <xdr:colOff>163608</xdr:colOff>
          <xdr:row>42</xdr:row>
          <xdr:rowOff>10427</xdr:rowOff>
        </xdr:to>
        <xdr:pic>
          <xdr:nvPicPr>
            <xdr:cNvPr id="21" name="Grafik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Einkessel" spid="_x0000_s2099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79534" y="1340756"/>
              <a:ext cx="5906370" cy="51897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5122</xdr:colOff>
          <xdr:row>3</xdr:row>
          <xdr:rowOff>8029</xdr:rowOff>
        </xdr:from>
        <xdr:to>
          <xdr:col>1</xdr:col>
          <xdr:colOff>1019938</xdr:colOff>
          <xdr:row>6</xdr:row>
          <xdr:rowOff>9557</xdr:rowOff>
        </xdr:to>
        <xdr:pic>
          <xdr:nvPicPr>
            <xdr:cNvPr id="15" name="Grafik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122" y="420779"/>
              <a:ext cx="1155870" cy="6170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175847</xdr:colOff>
          <xdr:row>66</xdr:row>
          <xdr:rowOff>71315</xdr:rowOff>
        </xdr:from>
        <xdr:to>
          <xdr:col>18</xdr:col>
          <xdr:colOff>122506</xdr:colOff>
          <xdr:row>71</xdr:row>
          <xdr:rowOff>132656</xdr:rowOff>
        </xdr:to>
        <xdr:pic>
          <xdr:nvPicPr>
            <xdr:cNvPr id="10" name="Grafik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791809" y="10192238"/>
              <a:ext cx="2622632" cy="8157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9769</xdr:colOff>
          <xdr:row>3</xdr:row>
          <xdr:rowOff>11403</xdr:rowOff>
        </xdr:from>
        <xdr:to>
          <xdr:col>21</xdr:col>
          <xdr:colOff>1027442</xdr:colOff>
          <xdr:row>6</xdr:row>
          <xdr:rowOff>11075</xdr:rowOff>
        </xdr:to>
        <xdr:pic>
          <xdr:nvPicPr>
            <xdr:cNvPr id="16" name="Grafik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518644" y="418861"/>
              <a:ext cx="1155256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9772</xdr:colOff>
          <xdr:row>3</xdr:row>
          <xdr:rowOff>12966</xdr:rowOff>
        </xdr:from>
        <xdr:to>
          <xdr:col>43</xdr:col>
          <xdr:colOff>713048</xdr:colOff>
          <xdr:row>6</xdr:row>
          <xdr:rowOff>7195</xdr:rowOff>
        </xdr:to>
        <xdr:pic>
          <xdr:nvPicPr>
            <xdr:cNvPr id="17" name="Grafik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5080439" y="420424"/>
              <a:ext cx="1159864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9770</xdr:colOff>
          <xdr:row>3</xdr:row>
          <xdr:rowOff>8898</xdr:rowOff>
        </xdr:from>
        <xdr:to>
          <xdr:col>59</xdr:col>
          <xdr:colOff>886605</xdr:colOff>
          <xdr:row>6</xdr:row>
          <xdr:rowOff>1773</xdr:rowOff>
        </xdr:to>
        <xdr:pic>
          <xdr:nvPicPr>
            <xdr:cNvPr id="18" name="Grafik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2711020" y="416356"/>
              <a:ext cx="1150648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87921</xdr:colOff>
          <xdr:row>3</xdr:row>
          <xdr:rowOff>5292</xdr:rowOff>
        </xdr:from>
        <xdr:to>
          <xdr:col>81</xdr:col>
          <xdr:colOff>9062</xdr:colOff>
          <xdr:row>5</xdr:row>
          <xdr:rowOff>188515</xdr:rowOff>
        </xdr:to>
        <xdr:pic>
          <xdr:nvPicPr>
            <xdr:cNvPr id="19" name="Grafik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0499129" y="412750"/>
              <a:ext cx="1163480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314243</xdr:colOff>
          <xdr:row>66</xdr:row>
          <xdr:rowOff>97286</xdr:rowOff>
        </xdr:from>
        <xdr:to>
          <xdr:col>40</xdr:col>
          <xdr:colOff>938</xdr:colOff>
          <xdr:row>72</xdr:row>
          <xdr:rowOff>16523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383314" y="10167735"/>
              <a:ext cx="2621534" cy="8201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209630</xdr:colOff>
          <xdr:row>66</xdr:row>
          <xdr:rowOff>97693</xdr:rowOff>
        </xdr:from>
        <xdr:to>
          <xdr:col>55</xdr:col>
          <xdr:colOff>135350</xdr:colOff>
          <xdr:row>72</xdr:row>
          <xdr:rowOff>10668</xdr:rowOff>
        </xdr:to>
        <xdr:pic>
          <xdr:nvPicPr>
            <xdr:cNvPr id="26" name="Grafik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0004534" y="10168142"/>
              <a:ext cx="2635332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386293</xdr:colOff>
          <xdr:row>66</xdr:row>
          <xdr:rowOff>97692</xdr:rowOff>
        </xdr:from>
        <xdr:to>
          <xdr:col>77</xdr:col>
          <xdr:colOff>10393</xdr:colOff>
          <xdr:row>72</xdr:row>
          <xdr:rowOff>10667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7837831" y="10168141"/>
              <a:ext cx="2618644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375097</xdr:colOff>
          <xdr:row>66</xdr:row>
          <xdr:rowOff>88860</xdr:rowOff>
        </xdr:from>
        <xdr:to>
          <xdr:col>92</xdr:col>
          <xdr:colOff>7704</xdr:colOff>
          <xdr:row>71</xdr:row>
          <xdr:rowOff>142473</xdr:rowOff>
        </xdr:to>
        <xdr:pic>
          <xdr:nvPicPr>
            <xdr:cNvPr id="28" name="Grafik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5128647" y="10267910"/>
              <a:ext cx="2615753" cy="8224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430492</xdr:colOff>
      <xdr:row>56</xdr:row>
      <xdr:rowOff>0</xdr:rowOff>
    </xdr:from>
    <xdr:to>
      <xdr:col>28</xdr:col>
      <xdr:colOff>683722</xdr:colOff>
      <xdr:row>76</xdr:row>
      <xdr:rowOff>18104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936" y="7516887"/>
          <a:ext cx="5864052" cy="2880000"/>
        </a:xfrm>
        <a:prstGeom prst="rect">
          <a:avLst/>
        </a:prstGeom>
      </xdr:spPr>
    </xdr:pic>
    <xdr:clientData/>
  </xdr:twoCellAnchor>
  <xdr:twoCellAnchor>
    <xdr:from>
      <xdr:col>7</xdr:col>
      <xdr:colOff>277737</xdr:colOff>
      <xdr:row>57</xdr:row>
      <xdr:rowOff>1814</xdr:rowOff>
    </xdr:from>
    <xdr:to>
      <xdr:col>14</xdr:col>
      <xdr:colOff>167600</xdr:colOff>
      <xdr:row>79</xdr:row>
      <xdr:rowOff>81464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105833</xdr:colOff>
      <xdr:row>56</xdr:row>
      <xdr:rowOff>0</xdr:rowOff>
    </xdr:from>
    <xdr:to>
      <xdr:col>18</xdr:col>
      <xdr:colOff>306258</xdr:colOff>
      <xdr:row>76</xdr:row>
      <xdr:rowOff>86000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75722" y="7544027"/>
          <a:ext cx="4049230" cy="2880000"/>
        </a:xfrm>
        <a:prstGeom prst="rect">
          <a:avLst/>
        </a:prstGeom>
      </xdr:spPr>
    </xdr:pic>
    <xdr:clientData/>
  </xdr:twoCellAnchor>
  <xdr:twoCellAnchor>
    <xdr:from>
      <xdr:col>7</xdr:col>
      <xdr:colOff>279400</xdr:colOff>
      <xdr:row>80</xdr:row>
      <xdr:rowOff>19050</xdr:rowOff>
    </xdr:from>
    <xdr:to>
      <xdr:col>14</xdr:col>
      <xdr:colOff>169263</xdr:colOff>
      <xdr:row>104</xdr:row>
      <xdr:rowOff>47900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279400</xdr:colOff>
      <xdr:row>105</xdr:row>
      <xdr:rowOff>6350</xdr:rowOff>
    </xdr:from>
    <xdr:to>
      <xdr:col>14</xdr:col>
      <xdr:colOff>169263</xdr:colOff>
      <xdr:row>129</xdr:row>
      <xdr:rowOff>92350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381000</xdr:colOff>
      <xdr:row>131</xdr:row>
      <xdr:rowOff>0</xdr:rowOff>
    </xdr:from>
    <xdr:to>
      <xdr:col>14</xdr:col>
      <xdr:colOff>270863</xdr:colOff>
      <xdr:row>155</xdr:row>
      <xdr:rowOff>86000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2603500</xdr:colOff>
      <xdr:row>0</xdr:row>
      <xdr:rowOff>211336</xdr:rowOff>
    </xdr:from>
    <xdr:to>
      <xdr:col>0</xdr:col>
      <xdr:colOff>5453426</xdr:colOff>
      <xdr:row>0</xdr:row>
      <xdr:rowOff>4671861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603500" y="211336"/>
          <a:ext cx="2849926" cy="44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960334</xdr:colOff>
      <xdr:row>1</xdr:row>
      <xdr:rowOff>131497</xdr:rowOff>
    </xdr:from>
    <xdr:to>
      <xdr:col>0</xdr:col>
      <xdr:colOff>5481688</xdr:colOff>
      <xdr:row>1</xdr:row>
      <xdr:rowOff>4684879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960334" y="5084497"/>
          <a:ext cx="4521354" cy="4553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454042</xdr:colOff>
          <xdr:row>0</xdr:row>
          <xdr:rowOff>69850</xdr:rowOff>
        </xdr:from>
        <xdr:to>
          <xdr:col>7</xdr:col>
          <xdr:colOff>5105400</xdr:colOff>
          <xdr:row>0</xdr:row>
          <xdr:rowOff>4705350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 preferRelativeResize="0">
              <a:picLocks noChangeAspect="1" noChangeArrowheads="1"/>
              <a:extLst>
                <a:ext uri="{84589F7E-364E-4C9E-8A38-B11213B215E9}">
                  <a14:cameraTool cellRange="Einkessel" spid="_x0000_s1357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011042" y="69850"/>
              <a:ext cx="5464158" cy="4635500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483305</xdr:colOff>
      <xdr:row>4</xdr:row>
      <xdr:rowOff>39511</xdr:rowOff>
    </xdr:from>
    <xdr:to>
      <xdr:col>1</xdr:col>
      <xdr:colOff>2264835</xdr:colOff>
      <xdr:row>4</xdr:row>
      <xdr:rowOff>1309352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4976"/>
        <a:stretch/>
      </xdr:blipFill>
      <xdr:spPr>
        <a:xfrm>
          <a:off x="6052255" y="10072511"/>
          <a:ext cx="1781530" cy="1269841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378889</xdr:colOff>
      <xdr:row>5</xdr:row>
      <xdr:rowOff>31753</xdr:rowOff>
    </xdr:from>
    <xdr:to>
      <xdr:col>1</xdr:col>
      <xdr:colOff>2421473</xdr:colOff>
      <xdr:row>5</xdr:row>
      <xdr:rowOff>1322761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3982"/>
        <a:stretch/>
      </xdr:blipFill>
      <xdr:spPr>
        <a:xfrm>
          <a:off x="5947839" y="11410953"/>
          <a:ext cx="2042584" cy="12910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7</xdr:col>
          <xdr:colOff>2736850</xdr:colOff>
          <xdr:row>5</xdr:row>
          <xdr:rowOff>0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1357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69800" y="10033000"/>
              <a:ext cx="2736850" cy="1346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50800</xdr:colOff>
      <xdr:row>6</xdr:row>
      <xdr:rowOff>44450</xdr:rowOff>
    </xdr:from>
    <xdr:to>
      <xdr:col>1</xdr:col>
      <xdr:colOff>2698750</xdr:colOff>
      <xdr:row>6</xdr:row>
      <xdr:rowOff>1314291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16" r="-423"/>
        <a:stretch/>
      </xdr:blipFill>
      <xdr:spPr>
        <a:xfrm>
          <a:off x="5619750" y="12763500"/>
          <a:ext cx="2647950" cy="1269841"/>
        </a:xfrm>
        <a:prstGeom prst="rect">
          <a:avLst/>
        </a:prstGeom>
      </xdr:spPr>
    </xdr:pic>
    <xdr:clientData/>
  </xdr:twoCellAnchor>
  <xdr:oneCellAnchor>
    <xdr:from>
      <xdr:col>1</xdr:col>
      <xdr:colOff>1002230</xdr:colOff>
      <xdr:row>8</xdr:row>
      <xdr:rowOff>28565</xdr:rowOff>
    </xdr:from>
    <xdr:ext cx="1728735" cy="771701"/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8837" r="8837"/>
        <a:stretch/>
      </xdr:blipFill>
      <xdr:spPr>
        <a:xfrm>
          <a:off x="6571180" y="15440015"/>
          <a:ext cx="1728735" cy="771701"/>
        </a:xfrm>
        <a:prstGeom prst="rect">
          <a:avLst/>
        </a:prstGeom>
      </xdr:spPr>
    </xdr:pic>
    <xdr:clientData/>
  </xdr:oneCellAnchor>
  <xdr:oneCellAnchor>
    <xdr:from>
      <xdr:col>1</xdr:col>
      <xdr:colOff>922820</xdr:colOff>
      <xdr:row>9</xdr:row>
      <xdr:rowOff>19749</xdr:rowOff>
    </xdr:from>
    <xdr:ext cx="1789094" cy="788455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5070" r="5070"/>
        <a:stretch/>
      </xdr:blipFill>
      <xdr:spPr>
        <a:xfrm>
          <a:off x="6491770" y="16256699"/>
          <a:ext cx="1789094" cy="788455"/>
        </a:xfrm>
        <a:prstGeom prst="rect">
          <a:avLst/>
        </a:prstGeom>
      </xdr:spPr>
    </xdr:pic>
    <xdr:clientData/>
  </xdr:oneCellAnchor>
  <xdr:oneCellAnchor>
    <xdr:from>
      <xdr:col>1</xdr:col>
      <xdr:colOff>992459</xdr:colOff>
      <xdr:row>10</xdr:row>
      <xdr:rowOff>31053</xdr:rowOff>
    </xdr:from>
    <xdr:ext cx="1721934" cy="753534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7543" r="7543"/>
        <a:stretch/>
      </xdr:blipFill>
      <xdr:spPr>
        <a:xfrm>
          <a:off x="6561409" y="17093503"/>
          <a:ext cx="1721934" cy="753534"/>
        </a:xfrm>
        <a:prstGeom prst="rect">
          <a:avLst/>
        </a:prstGeom>
      </xdr:spPr>
    </xdr:pic>
    <xdr:clientData/>
  </xdr:oneCellAnchor>
  <xdr:oneCellAnchor>
    <xdr:from>
      <xdr:col>1</xdr:col>
      <xdr:colOff>984405</xdr:colOff>
      <xdr:row>11</xdr:row>
      <xdr:rowOff>40579</xdr:rowOff>
    </xdr:from>
    <xdr:ext cx="1732466" cy="750358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9720" r="9720"/>
        <a:stretch/>
      </xdr:blipFill>
      <xdr:spPr>
        <a:xfrm>
          <a:off x="6553355" y="17928529"/>
          <a:ext cx="1732466" cy="75035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15876</xdr:colOff>
          <xdr:row>8</xdr:row>
          <xdr:rowOff>15876</xdr:rowOff>
        </xdr:from>
        <xdr:to>
          <xdr:col>7</xdr:col>
          <xdr:colOff>2628900</xdr:colOff>
          <xdr:row>8</xdr:row>
          <xdr:rowOff>815329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13577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385676" y="15427326"/>
              <a:ext cx="2613024" cy="799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18</xdr:row>
      <xdr:rowOff>0</xdr:rowOff>
    </xdr:from>
    <xdr:to>
      <xdr:col>7</xdr:col>
      <xdr:colOff>971550</xdr:colOff>
      <xdr:row>22</xdr:row>
      <xdr:rowOff>165100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19894550"/>
          <a:ext cx="178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7</xdr:row>
      <xdr:rowOff>44448</xdr:rowOff>
    </xdr:from>
    <xdr:to>
      <xdr:col>1</xdr:col>
      <xdr:colOff>2387600</xdr:colOff>
      <xdr:row>7</xdr:row>
      <xdr:rowOff>1304448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89"/>
        <a:stretch/>
      </xdr:blipFill>
      <xdr:spPr bwMode="auto">
        <a:xfrm>
          <a:off x="5949951" y="14109698"/>
          <a:ext cx="200659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e/2020-220%20QMH%20Ueberarbeitung%20QMmini/04%20Anlagen-Datenerfassung/QMmini_Projektformular_3.0_V26_Livia%20Tre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formular"/>
      <sheetName val="Text"/>
      <sheetName val="Kontrolle"/>
      <sheetName val="Berechnungen"/>
      <sheetName val="Dropdown"/>
      <sheetName val="Bilder"/>
      <sheetName val="Datenbank"/>
      <sheetName val="Leitfaden Anhang 3"/>
    </sheetNames>
    <sheetDataSet>
      <sheetData sheetId="0"/>
      <sheetData sheetId="1"/>
      <sheetData sheetId="2"/>
      <sheetData sheetId="3"/>
      <sheetData sheetId="4"/>
      <sheetData sheetId="5">
        <row r="1">
          <cell r="G1">
            <v>2</v>
          </cell>
        </row>
        <row r="3">
          <cell r="G3">
            <v>3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qmmini@verenum.ch" TargetMode="External"/><Relationship Id="rId2" Type="http://schemas.openxmlformats.org/officeDocument/2006/relationships/hyperlink" Target="mailto:qmmini@verenum.ch" TargetMode="External"/><Relationship Id="rId1" Type="http://schemas.openxmlformats.org/officeDocument/2006/relationships/hyperlink" Target="mailto:qmmini@verenum.c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qmmini@verenum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CR325"/>
  <sheetViews>
    <sheetView tabSelected="1" zoomScale="110" zoomScaleNormal="110" workbookViewId="0">
      <selection activeCell="AD45" sqref="AD45"/>
    </sheetView>
  </sheetViews>
  <sheetFormatPr baseColWidth="10" defaultColWidth="0" defaultRowHeight="12" customHeight="1" x14ac:dyDescent="0.45"/>
  <cols>
    <col min="1" max="1" width="1.85546875" style="357" customWidth="1"/>
    <col min="2" max="2" width="14.35546875" style="357" customWidth="1"/>
    <col min="3" max="3" width="1.640625" style="357" customWidth="1"/>
    <col min="4" max="4" width="4" style="357" customWidth="1"/>
    <col min="5" max="5" width="13" style="357" customWidth="1"/>
    <col min="6" max="6" width="0.85546875" style="357" customWidth="1"/>
    <col min="7" max="7" width="8.2109375" style="357" customWidth="1"/>
    <col min="8" max="8" width="6.2109375" style="357" customWidth="1"/>
    <col min="9" max="9" width="1.7109375" style="357" customWidth="1"/>
    <col min="10" max="10" width="4.85546875" style="357" customWidth="1"/>
    <col min="11" max="11" width="3.7109375" style="357" customWidth="1"/>
    <col min="12" max="12" width="9.7109375" style="357" customWidth="1"/>
    <col min="13" max="13" width="0.85546875" style="357" customWidth="1"/>
    <col min="14" max="14" width="6.35546875" style="357" customWidth="1"/>
    <col min="15" max="15" width="6.5" style="357" customWidth="1"/>
    <col min="16" max="16" width="3.0703125" style="357" customWidth="1"/>
    <col min="17" max="17" width="3.640625" style="357" customWidth="1"/>
    <col min="18" max="18" width="4.92578125" style="357" customWidth="1"/>
    <col min="19" max="19" width="1.85546875" style="357" customWidth="1"/>
    <col min="20" max="20" width="1.140625" style="361" customWidth="1"/>
    <col min="21" max="21" width="1.85546875" style="357" customWidth="1"/>
    <col min="22" max="22" width="14.140625" style="357" customWidth="1"/>
    <col min="23" max="23" width="1.640625" style="357" customWidth="1"/>
    <col min="24" max="24" width="4" style="357" customWidth="1"/>
    <col min="25" max="25" width="6.0703125" style="357" customWidth="1"/>
    <col min="26" max="26" width="0.85546875" style="357" customWidth="1"/>
    <col min="27" max="27" width="12.5703125" style="357" customWidth="1"/>
    <col min="28" max="28" width="0.85546875" style="357" customWidth="1"/>
    <col min="29" max="29" width="3.85546875" style="357" customWidth="1"/>
    <col min="30" max="30" width="8" style="357" customWidth="1"/>
    <col min="31" max="31" width="5" style="357" customWidth="1"/>
    <col min="32" max="32" width="0.85546875" style="357" customWidth="1"/>
    <col min="33" max="33" width="6.85546875" style="357" customWidth="1"/>
    <col min="34" max="34" width="0.85546875" style="357" customWidth="1"/>
    <col min="35" max="35" width="6.5" style="357" customWidth="1"/>
    <col min="36" max="36" width="0.85546875" style="357" customWidth="1"/>
    <col min="37" max="37" width="7.85546875" style="357" customWidth="1"/>
    <col min="38" max="38" width="0.85546875" style="357" customWidth="1"/>
    <col min="39" max="39" width="12.92578125" style="357" customWidth="1"/>
    <col min="40" max="40" width="1.85546875" style="357" customWidth="1"/>
    <col min="41" max="41" width="1.140625" style="361" customWidth="1"/>
    <col min="42" max="42" width="1.85546875" style="357" customWidth="1"/>
    <col min="43" max="43" width="4.0703125" style="357" customWidth="1"/>
    <col min="44" max="44" width="11.140625" style="357" customWidth="1"/>
    <col min="45" max="45" width="6.35546875" style="357" customWidth="1"/>
    <col min="46" max="46" width="5.0703125" style="357" customWidth="1"/>
    <col min="47" max="47" width="11.140625" style="357" customWidth="1"/>
    <col min="48" max="48" width="7.140625" style="357" customWidth="1"/>
    <col min="49" max="49" width="8.0703125" style="357" customWidth="1"/>
    <col min="50" max="50" width="6.85546875" style="357" customWidth="1"/>
    <col min="51" max="51" width="6" style="357" customWidth="1"/>
    <col min="52" max="52" width="6.640625" style="357" customWidth="1"/>
    <col min="53" max="53" width="8" style="357" customWidth="1"/>
    <col min="54" max="54" width="7.7109375" style="357" customWidth="1"/>
    <col min="55" max="55" width="7.0703125" style="357" customWidth="1"/>
    <col min="56" max="56" width="1.85546875" style="357" customWidth="1"/>
    <col min="57" max="57" width="1.140625" style="361" customWidth="1"/>
    <col min="58" max="59" width="1.85546875" style="357" customWidth="1"/>
    <col min="60" max="60" width="18.640625" style="357" customWidth="1"/>
    <col min="61" max="61" width="8.2109375" style="357" customWidth="1"/>
    <col min="62" max="62" width="9.35546875" style="357" customWidth="1"/>
    <col min="63" max="63" width="0.85546875" style="357" customWidth="1"/>
    <col min="64" max="64" width="6.5703125" style="357" customWidth="1"/>
    <col min="65" max="65" width="0.85546875" style="357" customWidth="1"/>
    <col min="66" max="66" width="5.5703125" style="357" customWidth="1"/>
    <col min="67" max="67" width="8.2109375" style="357" customWidth="1"/>
    <col min="68" max="68" width="6.5703125" style="357" customWidth="1"/>
    <col min="69" max="69" width="0.85546875" style="357" customWidth="1"/>
    <col min="70" max="70" width="8.0703125" style="357" customWidth="1"/>
    <col min="71" max="71" width="0.85546875" style="357" customWidth="1"/>
    <col min="72" max="72" width="6.5703125" style="357" customWidth="1"/>
    <col min="73" max="73" width="0.85546875" style="357" customWidth="1"/>
    <col min="74" max="74" width="7.85546875" style="357" customWidth="1"/>
    <col min="75" max="75" width="0.85546875" style="357" customWidth="1"/>
    <col min="76" max="76" width="5" style="357" customWidth="1"/>
    <col min="77" max="77" width="1.85546875" style="357" customWidth="1"/>
    <col min="78" max="78" width="1.140625" style="361" customWidth="1"/>
    <col min="79" max="79" width="2.2109375" style="357" customWidth="1"/>
    <col min="80" max="80" width="7.35546875" style="357" customWidth="1"/>
    <col min="81" max="81" width="5.5" style="357" customWidth="1"/>
    <col min="82" max="82" width="9.640625" style="357" customWidth="1"/>
    <col min="83" max="83" width="7.35546875" style="357" customWidth="1"/>
    <col min="84" max="84" width="9.35546875" style="357" customWidth="1"/>
    <col min="85" max="85" width="5.0703125" style="357" customWidth="1"/>
    <col min="86" max="86" width="9.0703125" style="357" customWidth="1"/>
    <col min="87" max="87" width="8.640625" style="357" customWidth="1"/>
    <col min="88" max="88" width="9.85546875" style="357" customWidth="1"/>
    <col min="89" max="89" width="2.140625" style="357" customWidth="1"/>
    <col min="90" max="90" width="6.5703125" style="357" customWidth="1"/>
    <col min="91" max="91" width="10.0703125" style="357" customWidth="1"/>
    <col min="92" max="92" width="1.85546875" style="357" customWidth="1"/>
    <col min="93" max="93" width="1.140625" style="359" customWidth="1"/>
    <col min="94" max="94" width="1.5703125" style="360" customWidth="1"/>
    <col min="95" max="95" width="1.140625" style="361" customWidth="1"/>
    <col min="96" max="96" width="10.85546875" style="362" hidden="1" customWidth="1"/>
    <col min="97" max="16384" width="10.85546875" style="362" hidden="1"/>
  </cols>
  <sheetData>
    <row r="1" spans="1:94" ht="6" customHeight="1" x14ac:dyDescent="0.45">
      <c r="T1" s="358"/>
      <c r="AO1" s="358"/>
      <c r="BE1" s="358"/>
      <c r="BZ1" s="358"/>
      <c r="CP1" s="360">
        <f>Datenbank!H1</f>
        <v>0</v>
      </c>
    </row>
    <row r="2" spans="1:94" ht="20.5" customHeight="1" x14ac:dyDescent="0.25">
      <c r="B2" s="546"/>
      <c r="N2" s="363" t="s">
        <v>100</v>
      </c>
      <c r="T2" s="358"/>
      <c r="V2" s="546"/>
      <c r="AG2" s="363"/>
      <c r="AO2" s="358"/>
      <c r="AQ2" s="546"/>
      <c r="BA2" s="363"/>
      <c r="BE2" s="358"/>
      <c r="BH2" s="546"/>
      <c r="BR2" s="363"/>
      <c r="BZ2" s="358"/>
      <c r="CB2" s="546"/>
      <c r="CI2" s="363"/>
      <c r="CP2" s="360">
        <f>Datenbank!H2</f>
        <v>0</v>
      </c>
    </row>
    <row r="3" spans="1:94" ht="6" customHeight="1" x14ac:dyDescent="0.45">
      <c r="T3" s="358"/>
      <c r="AO3" s="358"/>
      <c r="BE3" s="358"/>
      <c r="BZ3" s="358"/>
      <c r="CP3" s="360">
        <f>Datenbank!H3</f>
        <v>0</v>
      </c>
    </row>
    <row r="4" spans="1:94" ht="15.9" x14ac:dyDescent="0.45">
      <c r="B4" s="364"/>
      <c r="T4" s="358"/>
      <c r="V4" s="364"/>
      <c r="AO4" s="358"/>
      <c r="BE4" s="358"/>
      <c r="BZ4" s="358"/>
      <c r="CP4" s="360">
        <f>Datenbank!H4</f>
        <v>0</v>
      </c>
    </row>
    <row r="5" spans="1:94" ht="17.600000000000001" x14ac:dyDescent="0.45">
      <c r="E5" s="365" t="str">
        <f>Text!C4</f>
        <v>Projektformular QMmini</v>
      </c>
      <c r="R5" s="366" t="str">
        <f>Text!C5</f>
        <v>Seite 1</v>
      </c>
      <c r="T5" s="358"/>
      <c r="Y5" s="365" t="str">
        <f>E5</f>
        <v>Projektformular QMmini</v>
      </c>
      <c r="AM5" s="366" t="str">
        <f>Text!C64</f>
        <v>Seite 2</v>
      </c>
      <c r="AO5" s="358"/>
      <c r="AU5" s="365" t="str">
        <f>E5</f>
        <v>Projektformular QMmini</v>
      </c>
      <c r="BB5" s="366"/>
      <c r="BC5" s="366" t="str">
        <f>Text!C145</f>
        <v>Seite 3</v>
      </c>
      <c r="BE5" s="358"/>
      <c r="BJ5" s="365" t="str">
        <f>E5</f>
        <v>Projektformular QMmini</v>
      </c>
      <c r="BX5" s="366" t="str">
        <f>Text!C187</f>
        <v>Seite 4</v>
      </c>
      <c r="BZ5" s="358"/>
      <c r="CE5" s="365" t="str">
        <f>E5</f>
        <v>Projektformular QMmini</v>
      </c>
      <c r="CM5" s="366" t="str">
        <f>Text!C260</f>
        <v>Seite 5</v>
      </c>
      <c r="CP5" s="360">
        <f>Datenbank!H5</f>
        <v>0</v>
      </c>
    </row>
    <row r="6" spans="1:94" ht="15" x14ac:dyDescent="0.3">
      <c r="E6" s="550" t="s">
        <v>1453</v>
      </c>
      <c r="R6" s="367" t="str">
        <f>IF(Kontrolle!F52&gt;0,Text!C282,Text!C281)</f>
        <v>Validierung: Nicht vollständig ausgefüllt!</v>
      </c>
      <c r="T6" s="358"/>
      <c r="Y6" s="550" t="str">
        <f>E6</f>
        <v>Version 3.4-39</v>
      </c>
      <c r="AM6" s="367" t="str">
        <f>IF(Kontrolle!F52&gt;0,Text!C282,Text!C281)</f>
        <v>Validierung: Nicht vollständig ausgefüllt!</v>
      </c>
      <c r="AO6" s="358"/>
      <c r="AU6" s="550" t="str">
        <f>Y6</f>
        <v>Version 3.4-39</v>
      </c>
      <c r="BC6" s="367" t="str">
        <f>IF(Kontrolle!F52&gt;0,Text!C282,Text!C281)</f>
        <v>Validierung: Nicht vollständig ausgefüllt!</v>
      </c>
      <c r="BE6" s="358"/>
      <c r="BJ6" s="550" t="str">
        <f>AU6</f>
        <v>Version 3.4-39</v>
      </c>
      <c r="BX6" s="367" t="str">
        <f>IF(Kontrolle!F52&gt;0,Text!C282,Text!C281)</f>
        <v>Validierung: Nicht vollständig ausgefüllt!</v>
      </c>
      <c r="BZ6" s="358"/>
      <c r="CE6" s="550" t="str">
        <f>BJ6</f>
        <v>Version 3.4-39</v>
      </c>
      <c r="CM6" s="367" t="str">
        <f>IF(Kontrolle!F52&gt;0,Text!C282,Text!C281)</f>
        <v>Validierung: Nicht vollständig ausgefüllt!</v>
      </c>
      <c r="CP6" s="360">
        <f>Datenbank!H6</f>
        <v>0</v>
      </c>
    </row>
    <row r="7" spans="1:94" ht="12" customHeight="1" x14ac:dyDescent="0.45">
      <c r="A7" s="368" t="str">
        <f>Text!C6</f>
        <v>A01. Bauherrschaft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70" t="str">
        <f>IF(Kontrolle!F52&gt;0,Text!C283,"")</f>
        <v>Hinweise ab Zeile 74</v>
      </c>
      <c r="S7" s="369"/>
      <c r="T7" s="358"/>
      <c r="U7" s="368" t="str">
        <f>Text!C65</f>
        <v>A05. Angaben zum Projekt</v>
      </c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70" t="str">
        <f>IF(Kontrolle!F52&gt;0,Text!C283,"")</f>
        <v>Hinweise ab Zeile 74</v>
      </c>
      <c r="AN7" s="369"/>
      <c r="AO7" s="358"/>
      <c r="AP7" s="368" t="str">
        <f>Text!C146</f>
        <v>A08. Situationserfassung</v>
      </c>
      <c r="AQ7" s="369"/>
      <c r="AR7" s="369"/>
      <c r="AS7" s="369"/>
      <c r="AT7" s="369"/>
      <c r="AU7" s="369"/>
      <c r="AV7" s="369"/>
      <c r="AW7" s="369"/>
      <c r="AX7" s="369"/>
      <c r="AY7" s="369"/>
      <c r="AZ7" s="369"/>
      <c r="BA7" s="369"/>
      <c r="BB7" s="369"/>
      <c r="BC7" s="370" t="str">
        <f>IF(Kontrolle!F52&gt;0,Text!C283,"")</f>
        <v>Hinweise ab Zeile 74</v>
      </c>
      <c r="BD7" s="369"/>
      <c r="BE7" s="358"/>
      <c r="BF7" s="368" t="str">
        <f>Text!C188</f>
        <v>A10. Wärmenetz</v>
      </c>
      <c r="BG7" s="368"/>
      <c r="BH7" s="369"/>
      <c r="BI7" s="369"/>
      <c r="BJ7" s="369"/>
      <c r="BK7" s="369"/>
      <c r="BL7" s="369"/>
      <c r="BM7" s="369"/>
      <c r="BN7" s="369"/>
      <c r="BO7" s="369"/>
      <c r="BP7" s="369"/>
      <c r="BQ7" s="369"/>
      <c r="BR7" s="369"/>
      <c r="BS7" s="369"/>
      <c r="BT7" s="369"/>
      <c r="BU7" s="369"/>
      <c r="BV7" s="369"/>
      <c r="BW7" s="369"/>
      <c r="BX7" s="370" t="str">
        <f>IF(Kontrolle!F52&gt;0,Text!C283,"")</f>
        <v>Hinweise ab Zeile 74</v>
      </c>
      <c r="BY7" s="369"/>
      <c r="BZ7" s="358"/>
      <c r="CA7" s="368" t="str">
        <f>Text!C261</f>
        <v>A13. Hydraulikschema</v>
      </c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70" t="str">
        <f>IF(Kontrolle!F52&gt;0,Text!C283,"")</f>
        <v>Hinweise ab Zeile 74</v>
      </c>
      <c r="CN7" s="369"/>
      <c r="CP7" s="360" t="str">
        <f>Datenbank!H7</f>
        <v>ja</v>
      </c>
    </row>
    <row r="8" spans="1:94" ht="12" customHeight="1" x14ac:dyDescent="0.25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3"/>
      <c r="M8" s="372"/>
      <c r="N8" s="372"/>
      <c r="O8" s="372"/>
      <c r="P8" s="372"/>
      <c r="Q8" s="372"/>
      <c r="R8" s="372"/>
      <c r="S8" s="374"/>
      <c r="T8" s="358"/>
      <c r="U8" s="371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4"/>
      <c r="AO8" s="358"/>
      <c r="AP8" s="375"/>
      <c r="AQ8" s="376"/>
      <c r="AR8" s="377"/>
      <c r="AS8" s="377"/>
      <c r="AT8" s="377"/>
      <c r="AU8" s="377"/>
      <c r="AV8" s="377"/>
      <c r="AW8" s="377"/>
      <c r="AX8" s="372"/>
      <c r="AY8" s="372"/>
      <c r="AZ8" s="372"/>
      <c r="BA8" s="372"/>
      <c r="BB8" s="372"/>
      <c r="BC8" s="372"/>
      <c r="BD8" s="374"/>
      <c r="BE8" s="358"/>
      <c r="BF8" s="375"/>
      <c r="BG8" s="378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4"/>
      <c r="BZ8" s="358"/>
      <c r="CA8" s="379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4"/>
      <c r="CO8" s="380"/>
      <c r="CP8" s="360">
        <f>Datenbank!H8</f>
        <v>0</v>
      </c>
    </row>
    <row r="9" spans="1:94" ht="12" customHeight="1" x14ac:dyDescent="0.45">
      <c r="A9" s="381"/>
      <c r="B9" s="382"/>
      <c r="C9" s="382"/>
      <c r="D9" s="382"/>
      <c r="E9" s="363" t="str">
        <f>Text!C7</f>
        <v>Bauherrschaft</v>
      </c>
      <c r="F9" s="363"/>
      <c r="G9" s="564"/>
      <c r="H9" s="565"/>
      <c r="I9" s="565"/>
      <c r="J9" s="565"/>
      <c r="K9" s="565"/>
      <c r="L9" s="363"/>
      <c r="M9" s="363"/>
      <c r="N9" s="382"/>
      <c r="O9" s="382"/>
      <c r="P9" s="382"/>
      <c r="Q9" s="382"/>
      <c r="R9" s="382"/>
      <c r="S9" s="383"/>
      <c r="T9" s="358"/>
      <c r="U9" s="381"/>
      <c r="V9" s="382"/>
      <c r="W9" s="382"/>
      <c r="X9" s="382"/>
      <c r="Y9" s="363" t="str">
        <f>Text!C66</f>
        <v>geplanter Baubeginn</v>
      </c>
      <c r="Z9" s="363"/>
      <c r="AA9" s="325"/>
      <c r="AB9" s="382"/>
      <c r="AC9" s="382"/>
      <c r="AD9" s="382"/>
      <c r="AF9" s="382"/>
      <c r="AG9" s="382"/>
      <c r="AH9" s="382"/>
      <c r="AM9" s="382"/>
      <c r="AN9" s="383"/>
      <c r="AO9" s="358"/>
      <c r="AP9" s="384"/>
      <c r="AQ9" s="385" t="str">
        <f>Text!C147</f>
        <v>Kunde</v>
      </c>
      <c r="AR9" s="386" t="str">
        <f>Text!C149</f>
        <v>Objekt</v>
      </c>
      <c r="AS9" s="387"/>
      <c r="AT9" s="387"/>
      <c r="AU9" s="385" t="str">
        <f>Text!C152</f>
        <v>Gebäude</v>
      </c>
      <c r="AV9" s="388" t="str">
        <f>Text!C150</f>
        <v>Gebäude- bzw.</v>
      </c>
      <c r="AW9" s="389"/>
      <c r="AX9" s="385" t="str">
        <f>Text!C163</f>
        <v>Wärme-</v>
      </c>
      <c r="AY9" s="390" t="str">
        <f>Text!C166</f>
        <v>Am Netz</v>
      </c>
      <c r="AZ9" s="390" t="str">
        <f>Text!C167</f>
        <v>Leistung</v>
      </c>
      <c r="BA9" s="391" t="str">
        <f>Text!C168</f>
        <v>Energie-</v>
      </c>
      <c r="BB9" s="391" t="str">
        <f>Text!C171</f>
        <v>Jahres-</v>
      </c>
      <c r="BC9" s="391" t="str">
        <f>Text!C174</f>
        <v>davon WW</v>
      </c>
      <c r="BD9" s="383"/>
      <c r="BE9" s="358"/>
      <c r="BF9" s="384"/>
      <c r="BG9" s="392"/>
      <c r="BH9" s="393" t="str">
        <f>Text!C189</f>
        <v>Trassenlänge Netz</v>
      </c>
      <c r="BI9" s="393" t="str">
        <f>Text!C191</f>
        <v>Nutzenergie</v>
      </c>
      <c r="BJ9" s="393" t="str">
        <f>Text!C193</f>
        <v>Anschluss-</v>
      </c>
      <c r="BK9" s="371"/>
      <c r="BL9" s="372" t="str">
        <f>Text!C195</f>
        <v>Wärmeverteilverluste</v>
      </c>
      <c r="BM9" s="372"/>
      <c r="BN9" s="372"/>
      <c r="BO9" s="374"/>
      <c r="BP9" s="371" t="str">
        <f>Text!C196</f>
        <v>Temperaturen Netz, °C</v>
      </c>
      <c r="BQ9" s="372"/>
      <c r="BR9" s="377"/>
      <c r="BS9" s="372"/>
      <c r="BT9" s="394"/>
      <c r="BU9" s="382"/>
      <c r="BV9" s="382"/>
      <c r="BW9" s="382"/>
      <c r="BX9" s="382"/>
      <c r="BY9" s="383"/>
      <c r="BZ9" s="358"/>
      <c r="CA9" s="395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3"/>
      <c r="CO9" s="380"/>
      <c r="CP9" s="360">
        <f>Datenbank!H9</f>
        <v>365</v>
      </c>
    </row>
    <row r="10" spans="1:94" ht="12" customHeight="1" x14ac:dyDescent="0.45">
      <c r="A10" s="381"/>
      <c r="B10" s="382"/>
      <c r="C10" s="382"/>
      <c r="D10" s="382"/>
      <c r="E10" s="363" t="str">
        <f>Text!C8</f>
        <v>Ansprechperson/Kontaktperson</v>
      </c>
      <c r="F10" s="363"/>
      <c r="G10" s="564"/>
      <c r="H10" s="565"/>
      <c r="I10" s="565"/>
      <c r="J10" s="565"/>
      <c r="K10" s="565"/>
      <c r="L10" s="363"/>
      <c r="M10" s="363"/>
      <c r="N10" s="382"/>
      <c r="O10" s="382"/>
      <c r="P10" s="382"/>
      <c r="Q10" s="382"/>
      <c r="R10" s="382"/>
      <c r="S10" s="383"/>
      <c r="T10" s="358"/>
      <c r="U10" s="381"/>
      <c r="V10" s="382"/>
      <c r="W10" s="382"/>
      <c r="X10" s="382"/>
      <c r="Y10" s="363" t="str">
        <f>Text!C67</f>
        <v>voraussichtliche Vollinbetriebnahme</v>
      </c>
      <c r="Z10" s="363"/>
      <c r="AA10" s="325"/>
      <c r="AB10" s="382"/>
      <c r="AC10" s="382"/>
      <c r="AD10" s="382"/>
      <c r="AF10" s="382"/>
      <c r="AG10" s="382"/>
      <c r="AH10" s="382"/>
      <c r="AM10" s="382"/>
      <c r="AN10" s="383"/>
      <c r="AO10" s="358"/>
      <c r="AP10" s="384"/>
      <c r="AQ10" s="396" t="str">
        <f>Text!C148</f>
        <v>Nr.</v>
      </c>
      <c r="AR10" s="397"/>
      <c r="AS10" s="398"/>
      <c r="AT10" s="398"/>
      <c r="AU10" s="396"/>
      <c r="AV10" s="399" t="str">
        <f>Text!C151</f>
        <v>Nutzungsart</v>
      </c>
      <c r="AW10" s="400"/>
      <c r="AX10" s="396" t="str">
        <f>Text!C164</f>
        <v>dämmung</v>
      </c>
      <c r="AY10" s="401" t="str">
        <f>Text!C165</f>
        <v>Ja/Nein</v>
      </c>
      <c r="AZ10" s="401"/>
      <c r="BA10" s="402" t="str">
        <f>Text!C169</f>
        <v>bezugs-</v>
      </c>
      <c r="BB10" s="402" t="str">
        <f>Text!C172</f>
        <v>wärme-</v>
      </c>
      <c r="BC10" s="402" t="s">
        <v>116</v>
      </c>
      <c r="BD10" s="383"/>
      <c r="BE10" s="358"/>
      <c r="BF10" s="384"/>
      <c r="BG10" s="392"/>
      <c r="BH10" s="403" t="str">
        <f>Text!C190</f>
        <v>(=Grabenlänge)</v>
      </c>
      <c r="BI10" s="403" t="str">
        <f>Text!C192</f>
        <v>über Netz</v>
      </c>
      <c r="BJ10" s="403" t="str">
        <f>Text!C194</f>
        <v>dichte</v>
      </c>
      <c r="BK10" s="381"/>
      <c r="BL10" s="382"/>
      <c r="BM10" s="382"/>
      <c r="BN10" s="382"/>
      <c r="BO10" s="383"/>
      <c r="BP10" s="381"/>
      <c r="BQ10" s="382"/>
      <c r="BR10" s="382"/>
      <c r="BS10" s="382"/>
      <c r="BT10" s="383"/>
      <c r="BU10" s="382"/>
      <c r="BV10" s="382"/>
      <c r="BW10" s="382"/>
      <c r="BX10" s="382"/>
      <c r="BY10" s="383"/>
      <c r="BZ10" s="358"/>
      <c r="CA10" s="395"/>
      <c r="CB10" s="382"/>
      <c r="CC10" s="382"/>
      <c r="CD10" s="382"/>
      <c r="CE10" s="382"/>
      <c r="CF10" s="382"/>
      <c r="CG10" s="382"/>
      <c r="CH10" s="382"/>
      <c r="CI10" s="382"/>
      <c r="CJ10" s="382"/>
      <c r="CK10" s="382"/>
      <c r="CL10" s="382"/>
      <c r="CM10" s="382"/>
      <c r="CN10" s="383"/>
      <c r="CO10" s="380"/>
      <c r="CP10" s="360">
        <f ca="1">Datenbank!H10</f>
        <v>45516</v>
      </c>
    </row>
    <row r="11" spans="1:94" ht="12" customHeight="1" x14ac:dyDescent="0.45">
      <c r="A11" s="381"/>
      <c r="B11" s="382"/>
      <c r="C11" s="382"/>
      <c r="D11" s="382"/>
      <c r="E11" s="363" t="str">
        <f>Text!C9</f>
        <v>Strasse</v>
      </c>
      <c r="F11" s="363"/>
      <c r="G11" s="564"/>
      <c r="H11" s="565"/>
      <c r="I11" s="565"/>
      <c r="J11" s="565"/>
      <c r="K11" s="565"/>
      <c r="L11" s="363" t="str">
        <f>Text!C12</f>
        <v>PLZ, Ort</v>
      </c>
      <c r="M11" s="363"/>
      <c r="N11" s="564"/>
      <c r="O11" s="565"/>
      <c r="P11" s="565"/>
      <c r="Q11" s="565"/>
      <c r="R11" s="382"/>
      <c r="S11" s="383"/>
      <c r="T11" s="358"/>
      <c r="U11" s="381"/>
      <c r="V11" s="382"/>
      <c r="W11" s="382"/>
      <c r="X11" s="382"/>
      <c r="Y11" s="363" t="str">
        <f>Text!C68</f>
        <v>Strasse</v>
      </c>
      <c r="Z11" s="363"/>
      <c r="AA11" s="564"/>
      <c r="AB11" s="576"/>
      <c r="AC11" s="576"/>
      <c r="AD11" s="576"/>
      <c r="AF11" s="382"/>
      <c r="AG11" s="382"/>
      <c r="AH11" s="382"/>
      <c r="AM11" s="382"/>
      <c r="AN11" s="383"/>
      <c r="AO11" s="358"/>
      <c r="AP11" s="384"/>
      <c r="AQ11" s="396"/>
      <c r="AR11" s="397"/>
      <c r="AS11" s="398"/>
      <c r="AT11" s="398"/>
      <c r="AU11" s="396"/>
      <c r="AV11" s="399"/>
      <c r="AW11" s="400"/>
      <c r="AX11" s="396"/>
      <c r="AY11" s="401"/>
      <c r="AZ11" s="401"/>
      <c r="BA11" s="402" t="str">
        <f>Text!C170</f>
        <v>fläche</v>
      </c>
      <c r="BB11" s="402" t="str">
        <f>Text!C173</f>
        <v>bedarf</v>
      </c>
      <c r="BC11" s="402"/>
      <c r="BD11" s="383"/>
      <c r="BE11" s="358"/>
      <c r="BF11" s="404"/>
      <c r="BG11" s="405"/>
      <c r="BH11" s="406" t="s">
        <v>189</v>
      </c>
      <c r="BI11" s="406" t="s">
        <v>190</v>
      </c>
      <c r="BJ11" s="406" t="s">
        <v>191</v>
      </c>
      <c r="BK11" s="407"/>
      <c r="BL11" s="408" t="s">
        <v>185</v>
      </c>
      <c r="BM11" s="407"/>
      <c r="BN11" s="408" t="s">
        <v>190</v>
      </c>
      <c r="BO11" s="406" t="s">
        <v>112</v>
      </c>
      <c r="BP11" s="406" t="str">
        <f>Text!C197</f>
        <v>VL</v>
      </c>
      <c r="BQ11" s="407"/>
      <c r="BR11" s="408" t="str">
        <f>Text!C198</f>
        <v>RL</v>
      </c>
      <c r="BS11" s="407"/>
      <c r="BT11" s="408" t="s">
        <v>195</v>
      </c>
      <c r="BU11" s="409"/>
      <c r="BV11" s="409"/>
      <c r="BW11" s="409"/>
      <c r="BX11" s="409"/>
      <c r="BY11" s="410"/>
      <c r="BZ11" s="358"/>
      <c r="CA11" s="395"/>
      <c r="CB11" s="382"/>
      <c r="CC11" s="382"/>
      <c r="CD11" s="382"/>
      <c r="CE11" s="382"/>
      <c r="CF11" s="382"/>
      <c r="CG11" s="382"/>
      <c r="CH11" s="382"/>
      <c r="CI11" s="382"/>
      <c r="CJ11" s="382"/>
      <c r="CK11" s="382"/>
      <c r="CL11" s="382"/>
      <c r="CM11" s="382"/>
      <c r="CN11" s="410"/>
      <c r="CO11" s="411"/>
      <c r="CP11" s="360">
        <f ca="1">Datenbank!H11</f>
        <v>1</v>
      </c>
    </row>
    <row r="12" spans="1:94" ht="12" customHeight="1" x14ac:dyDescent="0.45">
      <c r="A12" s="381"/>
      <c r="B12" s="382"/>
      <c r="C12" s="382"/>
      <c r="D12" s="382"/>
      <c r="E12" s="363" t="str">
        <f>Text!C10</f>
        <v>Telefon</v>
      </c>
      <c r="F12" s="363"/>
      <c r="G12" s="564"/>
      <c r="H12" s="565"/>
      <c r="I12" s="565"/>
      <c r="J12" s="565"/>
      <c r="K12" s="565"/>
      <c r="L12" s="363"/>
      <c r="M12" s="363"/>
      <c r="N12" s="412" t="s">
        <v>19</v>
      </c>
      <c r="O12" s="409"/>
      <c r="P12" s="413"/>
      <c r="Q12" s="413"/>
      <c r="R12" s="382"/>
      <c r="S12" s="383"/>
      <c r="T12" s="358"/>
      <c r="U12" s="381"/>
      <c r="V12" s="382"/>
      <c r="W12" s="382"/>
      <c r="X12" s="382"/>
      <c r="Y12" s="363" t="str">
        <f>Text!C69</f>
        <v>PLZ, Ort</v>
      </c>
      <c r="Z12" s="382"/>
      <c r="AA12" s="564"/>
      <c r="AB12" s="576"/>
      <c r="AC12" s="576"/>
      <c r="AD12" s="576"/>
      <c r="AF12" s="382"/>
      <c r="AG12" s="382"/>
      <c r="AH12" s="382"/>
      <c r="AM12" s="382"/>
      <c r="AN12" s="383"/>
      <c r="AO12" s="358"/>
      <c r="AP12" s="414"/>
      <c r="AQ12" s="415"/>
      <c r="AR12" s="416"/>
      <c r="AS12" s="417"/>
      <c r="AT12" s="417"/>
      <c r="AU12" s="415"/>
      <c r="AV12" s="418"/>
      <c r="AW12" s="419"/>
      <c r="AX12" s="420"/>
      <c r="AY12" s="415"/>
      <c r="AZ12" s="415" t="s">
        <v>112</v>
      </c>
      <c r="BA12" s="415" t="s">
        <v>1184</v>
      </c>
      <c r="BB12" s="415" t="s">
        <v>1209</v>
      </c>
      <c r="BC12" s="415" t="s">
        <v>116</v>
      </c>
      <c r="BD12" s="421"/>
      <c r="BE12" s="358"/>
      <c r="BF12" s="384"/>
      <c r="BG12" s="392"/>
      <c r="BH12" s="326"/>
      <c r="BI12" s="327">
        <f>IF(AC33=Dropdown!A20,"",IF(AND(AC33=Dropdown!A19,ISBLANK(BH12)=TRUE),"",SUMIF(AY13:AY32,Dropdown!A19,BB13:BB32)/1000))</f>
        <v>0</v>
      </c>
      <c r="BJ12" s="328" t="e">
        <f>IF(AC33=Dropdown!A20,"",IF(AND(AC33=Dropdown!A19,ISBLANK(BH12)=TRUE),"",BI12/BH12))</f>
        <v>#DIV/0!</v>
      </c>
      <c r="BK12" s="329"/>
      <c r="BL12" s="330" t="e">
        <f>IF(AC33=Dropdown!A20,"",IF(AND(AC33=Dropdown!A19,ISBLANK(BH12)=TRUE),"",IF(AC34=Dropdown!A19,Berechnungen!G50*BJ12^-Berechnungen!G51,Berechnungen!F50*BJ12^-Berechnungen!F51)))</f>
        <v>#DIV/0!</v>
      </c>
      <c r="BM12" s="329"/>
      <c r="BN12" s="331" t="e">
        <f>IF(AC33=Dropdown!A20,"",IF(AND(AC33=Dropdown!A19,ISBLANK(BH12)=TRUE),"",BI12/(1-(BL12/100))*BL12/100))</f>
        <v>#DIV/0!</v>
      </c>
      <c r="BO12" s="328" t="e">
        <f>IF(AC33=Dropdown!A20,"",IF(AND(AC33=Dropdown!A19,ISBLANK(BH12)=TRUE),"",BN12*1000/AI34))</f>
        <v>#DIV/0!</v>
      </c>
      <c r="BP12" s="326"/>
      <c r="BQ12" s="558"/>
      <c r="BR12" s="559"/>
      <c r="BS12" s="422"/>
      <c r="BT12" s="332">
        <f>IF(AC33=Dropdown!A20,"",BP12-BQ12)</f>
        <v>0</v>
      </c>
      <c r="BU12" s="382"/>
      <c r="BV12" s="382"/>
      <c r="BW12" s="382"/>
      <c r="BX12" s="382"/>
      <c r="BY12" s="383"/>
      <c r="BZ12" s="358"/>
      <c r="CA12" s="395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410"/>
      <c r="CO12" s="411"/>
      <c r="CP12" s="360" t="str">
        <f ca="1">Datenbank!H12</f>
        <v>Pendent</v>
      </c>
    </row>
    <row r="13" spans="1:94" ht="12" customHeight="1" x14ac:dyDescent="0.45">
      <c r="A13" s="381"/>
      <c r="B13" s="382"/>
      <c r="C13" s="382"/>
      <c r="D13" s="382"/>
      <c r="E13" s="363" t="str">
        <f>Text!C11</f>
        <v>E-Mail</v>
      </c>
      <c r="F13" s="363"/>
      <c r="G13" s="569"/>
      <c r="H13" s="565"/>
      <c r="I13" s="565"/>
      <c r="J13" s="565"/>
      <c r="K13" s="565"/>
      <c r="L13" s="363"/>
      <c r="M13" s="363"/>
      <c r="N13" s="382"/>
      <c r="O13" s="382"/>
      <c r="P13" s="382"/>
      <c r="Q13" s="382"/>
      <c r="R13" s="382"/>
      <c r="S13" s="383"/>
      <c r="T13" s="358"/>
      <c r="U13" s="381"/>
      <c r="V13" s="382"/>
      <c r="W13" s="382"/>
      <c r="X13" s="382"/>
      <c r="Y13" s="363" t="str">
        <f>Text!C70</f>
        <v xml:space="preserve">Kanton </v>
      </c>
      <c r="Z13" s="382"/>
      <c r="AA13" s="563"/>
      <c r="AB13" s="563"/>
      <c r="AC13" s="563"/>
      <c r="AD13" s="563"/>
      <c r="AF13" s="382"/>
      <c r="AG13" s="382"/>
      <c r="AH13" s="382"/>
      <c r="AM13" s="382"/>
      <c r="AN13" s="383"/>
      <c r="AO13" s="358"/>
      <c r="AP13" s="384"/>
      <c r="AQ13" s="423">
        <v>1</v>
      </c>
      <c r="AR13" s="552"/>
      <c r="AS13" s="553"/>
      <c r="AT13" s="554"/>
      <c r="AU13" s="333"/>
      <c r="AV13" s="570"/>
      <c r="AW13" s="571"/>
      <c r="AX13" s="333"/>
      <c r="AY13" s="333"/>
      <c r="AZ13" s="334"/>
      <c r="BA13" s="334"/>
      <c r="BB13" s="334"/>
      <c r="BC13" s="335" t="str">
        <f>IF(AV13=Text!$C$159,Projektformular!BB13,IF(AV13=Text!$C$155,20*Projektformular!BA13,""))</f>
        <v/>
      </c>
      <c r="BD13" s="383"/>
      <c r="BE13" s="358"/>
      <c r="BF13" s="384"/>
      <c r="BG13" s="392"/>
      <c r="BI13" s="363" t="str">
        <f>IF(AC33=Dropdown!A19,Text!C199,"")</f>
        <v/>
      </c>
      <c r="BJ13" s="382" t="e">
        <f>IF(AC33=Dropdown!A20,"",IF(AND(AC33=Dropdown!A19,OR(ISBLANK(Projektformular!BH12)=TRUE,ISBLANK(Projektformular!BP12)=TRUE,ISBLANK(Projektformular!BQ12)=TRUE)),Text!C280,IF(Berechnungen!D95=1,Text!C202,IF(Berechnungen!D92=Dropdown!A20,Text!C200,IF(Berechnungen!D94=Dropdown!A20,Text!C201,Text!C279)))))</f>
        <v>#DIV/0!</v>
      </c>
      <c r="BK13" s="382"/>
      <c r="BL13" s="382"/>
      <c r="BM13" s="382"/>
      <c r="BN13" s="382"/>
      <c r="BO13" s="382"/>
      <c r="BP13" s="382"/>
      <c r="BQ13" s="382"/>
      <c r="BR13" s="382"/>
      <c r="BS13" s="382"/>
      <c r="BT13" s="382"/>
      <c r="BU13" s="382"/>
      <c r="BV13" s="382"/>
      <c r="BW13" s="382"/>
      <c r="BX13" s="382"/>
      <c r="BY13" s="383"/>
      <c r="BZ13" s="358"/>
      <c r="CA13" s="395"/>
      <c r="CB13" s="382"/>
      <c r="CC13" s="382"/>
      <c r="CD13" s="382"/>
      <c r="CE13" s="382"/>
      <c r="CF13" s="382"/>
      <c r="CG13" s="382"/>
      <c r="CH13" s="382"/>
      <c r="CI13" s="382"/>
      <c r="CJ13" s="382"/>
      <c r="CK13" s="382"/>
      <c r="CL13" s="382"/>
      <c r="CM13" s="382"/>
      <c r="CN13" s="410"/>
      <c r="CO13" s="411"/>
      <c r="CP13" s="360" t="e">
        <f>Datenbank!H13</f>
        <v>#DIV/0!</v>
      </c>
    </row>
    <row r="14" spans="1:94" ht="12" customHeight="1" x14ac:dyDescent="0.45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6"/>
      <c r="M14" s="425"/>
      <c r="N14" s="425"/>
      <c r="O14" s="425"/>
      <c r="P14" s="425"/>
      <c r="Q14" s="425"/>
      <c r="R14" s="425"/>
      <c r="S14" s="427"/>
      <c r="T14" s="358"/>
      <c r="U14" s="381"/>
      <c r="V14" s="382"/>
      <c r="W14" s="382"/>
      <c r="X14" s="382"/>
      <c r="Y14" s="363" t="str">
        <f>Text!C97</f>
        <v>Klimaregion</v>
      </c>
      <c r="Z14" s="363"/>
      <c r="AA14" s="563"/>
      <c r="AB14" s="563"/>
      <c r="AC14" s="563"/>
      <c r="AD14" s="563"/>
      <c r="AF14" s="382"/>
      <c r="AG14" s="382"/>
      <c r="AH14" s="382"/>
      <c r="AM14" s="382"/>
      <c r="AN14" s="383"/>
      <c r="AO14" s="358"/>
      <c r="AP14" s="384"/>
      <c r="AQ14" s="423">
        <v>2</v>
      </c>
      <c r="AR14" s="552"/>
      <c r="AS14" s="553"/>
      <c r="AT14" s="554"/>
      <c r="AU14" s="333"/>
      <c r="AV14" s="570"/>
      <c r="AW14" s="571"/>
      <c r="AX14" s="333"/>
      <c r="AY14" s="333"/>
      <c r="AZ14" s="334"/>
      <c r="BA14" s="334"/>
      <c r="BB14" s="334"/>
      <c r="BC14" s="335" t="str">
        <f>IF(AV14=Text!$C$159,Projektformular!BB14,IF(AV14=Text!$C$155,20*Projektformular!BA14,""))</f>
        <v/>
      </c>
      <c r="BD14" s="383"/>
      <c r="BE14" s="358"/>
      <c r="BF14" s="384"/>
      <c r="BG14" s="392"/>
      <c r="BH14" s="382"/>
      <c r="BI14" s="363" t="e">
        <f>IF(OR(Berechnungen!D92=Dropdown!A20,Berechnungen!D94=Dropdown!A20),Text!C203,"")</f>
        <v>#DIV/0!</v>
      </c>
      <c r="BJ14" s="555"/>
      <c r="BK14" s="555"/>
      <c r="BL14" s="555"/>
      <c r="BM14" s="555"/>
      <c r="BN14" s="555"/>
      <c r="BO14" s="555"/>
      <c r="BP14" s="555"/>
      <c r="BQ14" s="555"/>
      <c r="BR14" s="555"/>
      <c r="BS14" s="555"/>
      <c r="BT14" s="555"/>
      <c r="BU14" s="555"/>
      <c r="BV14" s="555"/>
      <c r="BW14" s="555"/>
      <c r="BX14" s="555"/>
      <c r="BY14" s="383"/>
      <c r="BZ14" s="358"/>
      <c r="CA14" s="395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410"/>
      <c r="CO14" s="411"/>
      <c r="CP14" s="360">
        <f>Datenbank!H14</f>
        <v>0</v>
      </c>
    </row>
    <row r="15" spans="1:94" ht="12" customHeight="1" x14ac:dyDescent="0.45">
      <c r="A15" s="428" t="str">
        <f>Text!C13</f>
        <v>A02. Projektverantwortlicher</v>
      </c>
      <c r="B15" s="429"/>
      <c r="C15" s="429"/>
      <c r="D15" s="429"/>
      <c r="E15" s="429"/>
      <c r="F15" s="429"/>
      <c r="G15" s="430"/>
      <c r="H15" s="429"/>
      <c r="I15" s="429"/>
      <c r="J15" s="429"/>
      <c r="K15" s="429"/>
      <c r="L15" s="431"/>
      <c r="M15" s="429"/>
      <c r="N15" s="429"/>
      <c r="O15" s="429"/>
      <c r="P15" s="429"/>
      <c r="Q15" s="429"/>
      <c r="R15" s="429"/>
      <c r="S15" s="432"/>
      <c r="T15" s="358"/>
      <c r="U15" s="381"/>
      <c r="V15" s="382"/>
      <c r="W15" s="382"/>
      <c r="X15" s="382"/>
      <c r="Y15" s="363" t="str">
        <f>Text!C101</f>
        <v>Höhe (m. ü. M.)</v>
      </c>
      <c r="Z15" s="382"/>
      <c r="AA15" s="336"/>
      <c r="AB15" s="382"/>
      <c r="AC15" s="382"/>
      <c r="AD15" s="382"/>
      <c r="AF15" s="382"/>
      <c r="AG15" s="382"/>
      <c r="AH15" s="382"/>
      <c r="AM15" s="382"/>
      <c r="AN15" s="383"/>
      <c r="AO15" s="358"/>
      <c r="AP15" s="384"/>
      <c r="AQ15" s="423">
        <v>3</v>
      </c>
      <c r="AR15" s="552"/>
      <c r="AS15" s="553"/>
      <c r="AT15" s="554"/>
      <c r="AU15" s="333"/>
      <c r="AV15" s="570"/>
      <c r="AW15" s="571"/>
      <c r="AX15" s="333"/>
      <c r="AY15" s="333"/>
      <c r="AZ15" s="334"/>
      <c r="BA15" s="334"/>
      <c r="BB15" s="334"/>
      <c r="BC15" s="335" t="str">
        <f>IF(AV15=Text!$C$159,Projektformular!BB15,IF(AV15=Text!$C$155,20*Projektformular!BA15,""))</f>
        <v/>
      </c>
      <c r="BD15" s="383"/>
      <c r="BE15" s="358"/>
      <c r="BF15" s="424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7"/>
      <c r="BZ15" s="358"/>
      <c r="CA15" s="395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410"/>
      <c r="CO15" s="411"/>
      <c r="CP15" s="360">
        <f>Datenbank!H15</f>
        <v>0</v>
      </c>
    </row>
    <row r="16" spans="1:94" ht="12" customHeight="1" x14ac:dyDescent="0.45">
      <c r="A16" s="371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3"/>
      <c r="M16" s="372"/>
      <c r="N16" s="372"/>
      <c r="O16" s="372"/>
      <c r="P16" s="372"/>
      <c r="Q16" s="372"/>
      <c r="R16" s="372"/>
      <c r="S16" s="433"/>
      <c r="T16" s="358"/>
      <c r="U16" s="381"/>
      <c r="V16" s="382"/>
      <c r="W16" s="382"/>
      <c r="X16" s="382"/>
      <c r="Y16" s="363" t="str">
        <f>Text!C104</f>
        <v>Förderung durch:</v>
      </c>
      <c r="Z16" s="363"/>
      <c r="AA16" s="563"/>
      <c r="AB16" s="563"/>
      <c r="AC16" s="563"/>
      <c r="AD16" s="563"/>
      <c r="AE16" s="563"/>
      <c r="AF16" s="563"/>
      <c r="AG16" s="382"/>
      <c r="AH16" s="382"/>
      <c r="AM16" s="382"/>
      <c r="AN16" s="383"/>
      <c r="AO16" s="358"/>
      <c r="AP16" s="384"/>
      <c r="AQ16" s="423">
        <v>4</v>
      </c>
      <c r="AR16" s="552"/>
      <c r="AS16" s="553"/>
      <c r="AT16" s="554"/>
      <c r="AU16" s="333"/>
      <c r="AV16" s="570"/>
      <c r="AW16" s="571"/>
      <c r="AX16" s="333"/>
      <c r="AY16" s="333"/>
      <c r="AZ16" s="334"/>
      <c r="BA16" s="334"/>
      <c r="BB16" s="334"/>
      <c r="BC16" s="335" t="str">
        <f>IF(AV16=Text!$C$159,Projektformular!BB16,IF(AV16=Text!$C$155,20*Projektformular!BA16,""))</f>
        <v/>
      </c>
      <c r="BD16" s="383"/>
      <c r="BE16" s="358"/>
      <c r="BF16" s="428" t="str">
        <f>Text!C204</f>
        <v>A11. Angaben zur Kesselanlage</v>
      </c>
      <c r="BG16" s="428"/>
      <c r="BH16" s="429"/>
      <c r="BI16" s="429"/>
      <c r="BJ16" s="429"/>
      <c r="BK16" s="429"/>
      <c r="BL16" s="430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32"/>
      <c r="BZ16" s="358"/>
      <c r="CA16" s="395"/>
      <c r="CB16" s="382"/>
      <c r="CC16" s="382"/>
      <c r="CD16" s="382"/>
      <c r="CE16" s="382"/>
      <c r="CF16" s="382"/>
      <c r="CG16" s="382"/>
      <c r="CH16" s="382"/>
      <c r="CI16" s="382"/>
      <c r="CJ16" s="382"/>
      <c r="CK16" s="382"/>
      <c r="CL16" s="382"/>
      <c r="CM16" s="382"/>
      <c r="CN16" s="410"/>
      <c r="CO16" s="411"/>
      <c r="CP16" s="360">
        <f>Datenbank!H16</f>
        <v>0</v>
      </c>
    </row>
    <row r="17" spans="1:94" ht="12" customHeight="1" x14ac:dyDescent="0.45">
      <c r="A17" s="381"/>
      <c r="B17" s="382"/>
      <c r="C17" s="382"/>
      <c r="D17" s="382"/>
      <c r="E17" s="363" t="str">
        <f>Text!C14</f>
        <v>Verantwortlich für vorliegende Projektangaben</v>
      </c>
      <c r="F17" s="382"/>
      <c r="G17" s="564"/>
      <c r="H17" s="565"/>
      <c r="I17" s="565"/>
      <c r="J17" s="565"/>
      <c r="K17" s="565"/>
      <c r="L17" s="363"/>
      <c r="M17" s="382"/>
      <c r="N17" s="382"/>
      <c r="O17" s="382"/>
      <c r="P17" s="382"/>
      <c r="Q17" s="382"/>
      <c r="R17" s="382"/>
      <c r="S17" s="421"/>
      <c r="T17" s="358"/>
      <c r="U17" s="381"/>
      <c r="V17" s="382"/>
      <c r="W17" s="382"/>
      <c r="X17" s="382"/>
      <c r="Y17" s="363"/>
      <c r="Z17" s="363"/>
      <c r="AA17" s="577"/>
      <c r="AB17" s="577"/>
      <c r="AC17" s="577"/>
      <c r="AD17" s="577"/>
      <c r="AE17" s="363"/>
      <c r="AF17" s="363"/>
      <c r="AG17" s="363"/>
      <c r="AH17" s="382"/>
      <c r="AI17" s="382"/>
      <c r="AJ17" s="382"/>
      <c r="AK17" s="382"/>
      <c r="AL17" s="382"/>
      <c r="AM17" s="382"/>
      <c r="AN17" s="383"/>
      <c r="AO17" s="358"/>
      <c r="AP17" s="384"/>
      <c r="AQ17" s="423">
        <v>5</v>
      </c>
      <c r="AR17" s="552"/>
      <c r="AS17" s="553"/>
      <c r="AT17" s="554"/>
      <c r="AU17" s="333"/>
      <c r="AV17" s="570"/>
      <c r="AW17" s="571"/>
      <c r="AX17" s="333"/>
      <c r="AY17" s="333"/>
      <c r="AZ17" s="334"/>
      <c r="BA17" s="334"/>
      <c r="BB17" s="334"/>
      <c r="BC17" s="335" t="str">
        <f>IF(AV17=Text!$C$159,Projektformular!BB17,IF(AV17=Text!$C$155,20*Projektformular!BA17,""))</f>
        <v/>
      </c>
      <c r="BD17" s="383"/>
      <c r="BE17" s="358"/>
      <c r="BF17" s="375"/>
      <c r="BG17" s="378"/>
      <c r="BH17" s="372"/>
      <c r="BI17" s="372"/>
      <c r="BJ17" s="372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372"/>
      <c r="BV17" s="372"/>
      <c r="BW17" s="372"/>
      <c r="BX17" s="372"/>
      <c r="BY17" s="433"/>
      <c r="BZ17" s="358"/>
      <c r="CA17" s="395"/>
      <c r="CB17" s="382"/>
      <c r="CC17" s="382"/>
      <c r="CD17" s="382"/>
      <c r="CE17" s="382"/>
      <c r="CF17" s="382"/>
      <c r="CG17" s="382"/>
      <c r="CH17" s="382"/>
      <c r="CI17" s="382"/>
      <c r="CJ17" s="382"/>
      <c r="CK17" s="382"/>
      <c r="CL17" s="382"/>
      <c r="CM17" s="382"/>
      <c r="CN17" s="410"/>
      <c r="CO17" s="411"/>
      <c r="CP17" s="360">
        <f>Datenbank!H17</f>
        <v>0</v>
      </c>
    </row>
    <row r="18" spans="1:94" ht="12" customHeight="1" x14ac:dyDescent="0.45">
      <c r="A18" s="381"/>
      <c r="B18" s="382"/>
      <c r="C18" s="382"/>
      <c r="D18" s="382"/>
      <c r="E18" s="363" t="str">
        <f>Text!C8</f>
        <v>Ansprechperson/Kontaktperson</v>
      </c>
      <c r="F18" s="382"/>
      <c r="G18" s="564"/>
      <c r="H18" s="565"/>
      <c r="I18" s="565"/>
      <c r="J18" s="565"/>
      <c r="K18" s="565"/>
      <c r="L18" s="363"/>
      <c r="M18" s="382"/>
      <c r="N18" s="382"/>
      <c r="O18" s="382"/>
      <c r="P18" s="382"/>
      <c r="Q18" s="382"/>
      <c r="R18" s="382"/>
      <c r="S18" s="421"/>
      <c r="T18" s="358"/>
      <c r="U18" s="424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7"/>
      <c r="AO18" s="358"/>
      <c r="AP18" s="384"/>
      <c r="AQ18" s="423">
        <v>6</v>
      </c>
      <c r="AR18" s="552"/>
      <c r="AS18" s="553"/>
      <c r="AT18" s="554"/>
      <c r="AU18" s="333"/>
      <c r="AV18" s="570"/>
      <c r="AW18" s="571"/>
      <c r="AX18" s="333"/>
      <c r="AY18" s="333"/>
      <c r="AZ18" s="334"/>
      <c r="BA18" s="334"/>
      <c r="BB18" s="334"/>
      <c r="BC18" s="335" t="str">
        <f>IF(AV18=Text!$C$159,Projektformular!BB18,IF(AV18=Text!$C$155,20*Projektformular!BA18,""))</f>
        <v/>
      </c>
      <c r="BD18" s="383"/>
      <c r="BE18" s="358"/>
      <c r="BF18" s="384"/>
      <c r="BG18" s="392"/>
      <c r="BH18" s="382"/>
      <c r="BI18" s="382"/>
      <c r="BJ18" s="363" t="str">
        <f>Text!C205</f>
        <v>Maximal zulässige Kesselnennleistung</v>
      </c>
      <c r="BK18" s="382"/>
      <c r="BL18" s="337" t="e">
        <f>ROUND(AZ37*1.2,0)</f>
        <v>#DIV/0!</v>
      </c>
      <c r="BM18" s="382"/>
      <c r="BN18" s="382" t="s">
        <v>112</v>
      </c>
      <c r="BO18" s="435" t="str">
        <f>Text!C206</f>
        <v>(berechnet aus Gesamtsumme (A08) und zulässigem Überdimensionierungsfaktor von 20%)</v>
      </c>
      <c r="BP18" s="382"/>
      <c r="BQ18" s="382"/>
      <c r="BR18" s="382"/>
      <c r="BS18" s="382"/>
      <c r="BT18" s="382"/>
      <c r="BU18" s="382"/>
      <c r="BV18" s="382"/>
      <c r="BW18" s="382"/>
      <c r="BX18" s="382"/>
      <c r="BY18" s="421"/>
      <c r="BZ18" s="358"/>
      <c r="CA18" s="395"/>
      <c r="CB18" s="382"/>
      <c r="CC18" s="382"/>
      <c r="CD18" s="382"/>
      <c r="CE18" s="382"/>
      <c r="CF18" s="382"/>
      <c r="CG18" s="382"/>
      <c r="CH18" s="382"/>
      <c r="CI18" s="382"/>
      <c r="CJ18" s="382"/>
      <c r="CK18" s="382"/>
      <c r="CL18" s="382"/>
      <c r="CM18" s="382"/>
      <c r="CN18" s="410"/>
      <c r="CO18" s="411"/>
      <c r="CP18" s="360" t="str">
        <f>Datenbank!H18</f>
        <v>Version 3.4-39</v>
      </c>
    </row>
    <row r="19" spans="1:94" ht="12" customHeight="1" x14ac:dyDescent="0.45">
      <c r="A19" s="381"/>
      <c r="B19" s="382"/>
      <c r="C19" s="382"/>
      <c r="D19" s="382"/>
      <c r="E19" s="363" t="str">
        <f>Text!C9</f>
        <v>Strasse</v>
      </c>
      <c r="F19" s="382"/>
      <c r="G19" s="568"/>
      <c r="H19" s="565"/>
      <c r="I19" s="565"/>
      <c r="J19" s="565"/>
      <c r="K19" s="565"/>
      <c r="L19" s="363" t="str">
        <f>Text!C12</f>
        <v>PLZ, Ort</v>
      </c>
      <c r="M19" s="382"/>
      <c r="N19" s="566"/>
      <c r="O19" s="565"/>
      <c r="P19" s="565"/>
      <c r="Q19" s="565"/>
      <c r="R19" s="382"/>
      <c r="S19" s="421"/>
      <c r="T19" s="358"/>
      <c r="U19" s="428" t="str">
        <f>Text!C103</f>
        <v>A06. Geplante Kosten (in CHF exkl. MwSt.)</v>
      </c>
      <c r="V19" s="429"/>
      <c r="W19" s="429"/>
      <c r="X19" s="429"/>
      <c r="Y19" s="429"/>
      <c r="Z19" s="429"/>
      <c r="AA19" s="430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32"/>
      <c r="AO19" s="358"/>
      <c r="AP19" s="384"/>
      <c r="AQ19" s="423">
        <v>7</v>
      </c>
      <c r="AR19" s="552"/>
      <c r="AS19" s="553"/>
      <c r="AT19" s="554"/>
      <c r="AU19" s="333"/>
      <c r="AV19" s="570"/>
      <c r="AW19" s="571"/>
      <c r="AX19" s="333"/>
      <c r="AY19" s="333"/>
      <c r="AZ19" s="334"/>
      <c r="BA19" s="334"/>
      <c r="BB19" s="334"/>
      <c r="BC19" s="335" t="str">
        <f>IF(AV19=Text!$C$159,Projektformular!BB19,IF(AV19=Text!$C$155,20*Projektformular!BA19,""))</f>
        <v/>
      </c>
      <c r="BD19" s="383"/>
      <c r="BE19" s="358"/>
      <c r="BF19" s="384"/>
      <c r="BG19" s="392"/>
      <c r="BH19" s="382"/>
      <c r="BI19" s="382"/>
      <c r="BJ19" s="363" t="str">
        <f>Text!C207</f>
        <v>Lieferant und Kesseltyp bekannt?</v>
      </c>
      <c r="BK19" s="382"/>
      <c r="BL19" s="338" t="s">
        <v>89</v>
      </c>
      <c r="BM19" s="382"/>
      <c r="BN19" s="382"/>
      <c r="BO19" s="382"/>
      <c r="BP19" s="382"/>
      <c r="BQ19" s="382"/>
      <c r="BR19" s="382"/>
      <c r="BS19" s="382"/>
      <c r="BT19" s="382"/>
      <c r="BU19" s="382"/>
      <c r="BV19" s="382"/>
      <c r="BW19" s="382"/>
      <c r="BX19" s="382"/>
      <c r="BY19" s="421"/>
      <c r="BZ19" s="358"/>
      <c r="CA19" s="395"/>
      <c r="CB19" s="382"/>
      <c r="CC19" s="382"/>
      <c r="CD19" s="382"/>
      <c r="CE19" s="382"/>
      <c r="CF19" s="382"/>
      <c r="CG19" s="382"/>
      <c r="CH19" s="382"/>
      <c r="CI19" s="382"/>
      <c r="CJ19" s="382"/>
      <c r="CK19" s="382"/>
      <c r="CL19" s="382"/>
      <c r="CM19" s="382"/>
      <c r="CN19" s="410"/>
      <c r="CO19" s="411"/>
      <c r="CP19" s="360" t="e">
        <f>Datenbank!H19</f>
        <v>#N/A</v>
      </c>
    </row>
    <row r="20" spans="1:94" ht="12" customHeight="1" x14ac:dyDescent="0.45">
      <c r="A20" s="381"/>
      <c r="B20" s="382"/>
      <c r="C20" s="382"/>
      <c r="D20" s="382"/>
      <c r="E20" s="363" t="str">
        <f>Text!C10</f>
        <v>Telefon</v>
      </c>
      <c r="F20" s="382"/>
      <c r="G20" s="564"/>
      <c r="H20" s="565"/>
      <c r="I20" s="565"/>
      <c r="J20" s="565"/>
      <c r="K20" s="565"/>
      <c r="L20" s="363" t="str">
        <f>Text!C15</f>
        <v>Funktion</v>
      </c>
      <c r="M20" s="382"/>
      <c r="N20" s="563"/>
      <c r="O20" s="563"/>
      <c r="P20" s="563"/>
      <c r="Q20" s="563"/>
      <c r="R20" s="382"/>
      <c r="S20" s="421"/>
      <c r="T20" s="358"/>
      <c r="U20" s="371"/>
      <c r="V20" s="372"/>
      <c r="W20" s="372"/>
      <c r="X20" s="372"/>
      <c r="Y20" s="372"/>
      <c r="Z20" s="372"/>
      <c r="AA20" s="372"/>
      <c r="AB20" s="372"/>
      <c r="AC20" s="372"/>
      <c r="AD20" s="436"/>
      <c r="AE20" s="436"/>
      <c r="AF20" s="372"/>
      <c r="AG20" s="436"/>
      <c r="AH20" s="372"/>
      <c r="AI20" s="436"/>
      <c r="AJ20" s="436"/>
      <c r="AK20" s="436"/>
      <c r="AL20" s="436"/>
      <c r="AM20" s="436"/>
      <c r="AN20" s="437"/>
      <c r="AO20" s="358"/>
      <c r="AP20" s="384"/>
      <c r="AQ20" s="423">
        <v>8</v>
      </c>
      <c r="AR20" s="552"/>
      <c r="AS20" s="553"/>
      <c r="AT20" s="554"/>
      <c r="AU20" s="333"/>
      <c r="AV20" s="570"/>
      <c r="AW20" s="571"/>
      <c r="AX20" s="333"/>
      <c r="AY20" s="333"/>
      <c r="AZ20" s="334"/>
      <c r="BA20" s="334"/>
      <c r="BB20" s="334"/>
      <c r="BC20" s="335" t="str">
        <f>IF(AV20=Text!$C$159,Projektformular!BB20,IF(AV20=Text!$C$155,20*Projektformular!BA20,""))</f>
        <v/>
      </c>
      <c r="BD20" s="383"/>
      <c r="BE20" s="358"/>
      <c r="BF20" s="384"/>
      <c r="BG20" s="392"/>
      <c r="BH20" s="382"/>
      <c r="BI20" s="382"/>
      <c r="BJ20" s="363"/>
      <c r="BK20" s="382"/>
      <c r="BL20" s="438" t="str">
        <f>Text!C208</f>
        <v>Nennleistung</v>
      </c>
      <c r="BM20" s="382"/>
      <c r="BN20" s="382"/>
      <c r="BO20" s="382"/>
      <c r="BP20" s="382"/>
      <c r="BQ20" s="382"/>
      <c r="BR20" s="382"/>
      <c r="BS20" s="382"/>
      <c r="BT20" s="382"/>
      <c r="BU20" s="382"/>
      <c r="BV20" s="438" t="str">
        <f>Text!C209</f>
        <v>Minimalleistung</v>
      </c>
      <c r="BW20" s="382"/>
      <c r="BX20" s="382"/>
      <c r="BY20" s="421"/>
      <c r="BZ20" s="358"/>
      <c r="CA20" s="395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410"/>
      <c r="CO20" s="411"/>
      <c r="CP20" s="360" t="e">
        <f>Datenbank!H20</f>
        <v>#N/A</v>
      </c>
    </row>
    <row r="21" spans="1:94" ht="12" customHeight="1" x14ac:dyDescent="0.45">
      <c r="A21" s="381"/>
      <c r="B21" s="382"/>
      <c r="C21" s="382"/>
      <c r="D21" s="382"/>
      <c r="E21" s="363" t="str">
        <f>Text!C11</f>
        <v>E-Mail</v>
      </c>
      <c r="F21" s="382"/>
      <c r="G21" s="569"/>
      <c r="H21" s="565"/>
      <c r="I21" s="565"/>
      <c r="J21" s="565"/>
      <c r="K21" s="565"/>
      <c r="L21" s="363"/>
      <c r="M21" s="382"/>
      <c r="N21" s="567"/>
      <c r="O21" s="567"/>
      <c r="P21" s="567"/>
      <c r="Q21" s="567"/>
      <c r="R21" s="382"/>
      <c r="S21" s="421"/>
      <c r="T21" s="358"/>
      <c r="U21" s="381"/>
      <c r="V21" s="382"/>
      <c r="W21" s="382"/>
      <c r="X21" s="382"/>
      <c r="Y21" s="363" t="str">
        <f>Text!C109</f>
        <v>Kesselanlage</v>
      </c>
      <c r="AA21" s="339"/>
      <c r="AC21" s="439" t="str">
        <f>Text!C116</f>
        <v>(inkl. Beschickung, Rauchgasreinigung, Mess- und Regelungstechnik und Kamin)</v>
      </c>
      <c r="AE21" s="439"/>
      <c r="AG21" s="439"/>
      <c r="AI21" s="439"/>
      <c r="AJ21" s="439"/>
      <c r="AK21" s="439"/>
      <c r="AL21" s="439"/>
      <c r="AM21" s="439"/>
      <c r="AN21" s="440"/>
      <c r="AO21" s="358"/>
      <c r="AP21" s="384"/>
      <c r="AQ21" s="423">
        <v>9</v>
      </c>
      <c r="AR21" s="552"/>
      <c r="AS21" s="553"/>
      <c r="AT21" s="554"/>
      <c r="AU21" s="333"/>
      <c r="AV21" s="570"/>
      <c r="AW21" s="571"/>
      <c r="AX21" s="333"/>
      <c r="AY21" s="333"/>
      <c r="AZ21" s="334"/>
      <c r="BA21" s="334"/>
      <c r="BB21" s="334"/>
      <c r="BC21" s="335" t="str">
        <f>IF(AV21=Text!$C$159,Projektformular!BB21,IF(AV21=Text!$C$155,20*Projektformular!BA21,""))</f>
        <v/>
      </c>
      <c r="BD21" s="383"/>
      <c r="BE21" s="358"/>
      <c r="BF21" s="384"/>
      <c r="BG21" s="392"/>
      <c r="BH21" s="382"/>
      <c r="BI21" s="382"/>
      <c r="BJ21" s="363" t="str">
        <f>Text!C210</f>
        <v>Kessel 1</v>
      </c>
      <c r="BK21" s="382"/>
      <c r="BL21" s="340"/>
      <c r="BM21" s="382"/>
      <c r="BN21" s="382" t="s">
        <v>112</v>
      </c>
      <c r="BO21" s="439" t="str">
        <f>Text!C211</f>
        <v xml:space="preserve">(kleinster Kessel) </v>
      </c>
      <c r="BP21" s="382"/>
      <c r="BQ21" s="382"/>
      <c r="BR21" s="382"/>
      <c r="BS21" s="382"/>
      <c r="BT21" s="363" t="str">
        <f>Text!C210</f>
        <v>Kessel 1</v>
      </c>
      <c r="BU21" s="382"/>
      <c r="BV21" s="340"/>
      <c r="BW21" s="382"/>
      <c r="BX21" s="382" t="s">
        <v>112</v>
      </c>
      <c r="BY21" s="421"/>
      <c r="BZ21" s="358"/>
      <c r="CA21" s="395"/>
      <c r="CB21" s="382"/>
      <c r="CC21" s="382"/>
      <c r="CD21" s="382"/>
      <c r="CE21" s="382"/>
      <c r="CF21" s="382"/>
      <c r="CG21" s="382"/>
      <c r="CH21" s="382"/>
      <c r="CI21" s="409"/>
      <c r="CJ21" s="409"/>
      <c r="CK21" s="382"/>
      <c r="CL21" s="382"/>
      <c r="CM21" s="382"/>
      <c r="CN21" s="410"/>
      <c r="CO21" s="411"/>
      <c r="CP21" s="360">
        <f>Datenbank!H21</f>
        <v>0</v>
      </c>
    </row>
    <row r="22" spans="1:94" ht="12" customHeight="1" x14ac:dyDescent="0.45">
      <c r="A22" s="381"/>
      <c r="B22" s="382"/>
      <c r="C22" s="382"/>
      <c r="D22" s="382"/>
      <c r="E22" s="363" t="str">
        <f>Text!C16</f>
        <v>Anlagenbeschreibung</v>
      </c>
      <c r="F22" s="382"/>
      <c r="G22" s="564"/>
      <c r="H22" s="565"/>
      <c r="I22" s="565"/>
      <c r="J22" s="565"/>
      <c r="K22" s="565"/>
      <c r="L22" s="382"/>
      <c r="M22" s="382"/>
      <c r="N22" s="382"/>
      <c r="O22" s="382"/>
      <c r="P22" s="382"/>
      <c r="Q22" s="382"/>
      <c r="R22" s="382"/>
      <c r="S22" s="421"/>
      <c r="T22" s="358"/>
      <c r="U22" s="381"/>
      <c r="V22" s="382"/>
      <c r="W22" s="382"/>
      <c r="X22" s="382"/>
      <c r="Y22" s="363" t="str">
        <f>Text!C110</f>
        <v>Heizungstechnikinstallation</v>
      </c>
      <c r="AA22" s="341"/>
      <c r="AC22" s="439"/>
      <c r="AE22" s="439"/>
      <c r="AG22" s="439"/>
      <c r="AI22" s="439"/>
      <c r="AJ22" s="439"/>
      <c r="AK22" s="439"/>
      <c r="AL22" s="439"/>
      <c r="AM22" s="439"/>
      <c r="AN22" s="440"/>
      <c r="AO22" s="358"/>
      <c r="AP22" s="384"/>
      <c r="AQ22" s="423">
        <v>10</v>
      </c>
      <c r="AR22" s="552"/>
      <c r="AS22" s="553"/>
      <c r="AT22" s="554"/>
      <c r="AU22" s="333"/>
      <c r="AV22" s="570"/>
      <c r="AW22" s="571"/>
      <c r="AX22" s="333"/>
      <c r="AY22" s="333"/>
      <c r="AZ22" s="334"/>
      <c r="BA22" s="334"/>
      <c r="BB22" s="334"/>
      <c r="BC22" s="335" t="str">
        <f>IF(AV22=Text!$C$159,Projektformular!BB22,IF(AV22=Text!$C$155,20*Projektformular!BA22,""))</f>
        <v/>
      </c>
      <c r="BD22" s="383"/>
      <c r="BE22" s="358"/>
      <c r="BF22" s="384"/>
      <c r="BG22" s="392"/>
      <c r="BH22" s="382"/>
      <c r="BI22" s="382"/>
      <c r="BJ22" s="363" t="str">
        <f>IF(AC36=Dropdown!A41,Text!C212,"")</f>
        <v/>
      </c>
      <c r="BK22" s="382"/>
      <c r="BL22" s="342"/>
      <c r="BM22" s="382"/>
      <c r="BN22" s="382"/>
      <c r="BO22" s="382"/>
      <c r="BP22" s="382"/>
      <c r="BQ22" s="382"/>
      <c r="BR22" s="382"/>
      <c r="BS22" s="382"/>
      <c r="BT22" s="382"/>
      <c r="BU22" s="382"/>
      <c r="BV22" s="434"/>
      <c r="BW22" s="382"/>
      <c r="BX22" s="382"/>
      <c r="BY22" s="421"/>
      <c r="BZ22" s="358"/>
      <c r="CA22" s="395"/>
      <c r="CB22" s="382"/>
      <c r="CC22" s="382"/>
      <c r="CD22" s="382"/>
      <c r="CE22" s="409" t="str">
        <f>IF(AC36=Dropdown!A40,"",Text!C264)</f>
        <v>Kessel 1</v>
      </c>
      <c r="CF22" s="382"/>
      <c r="CG22" s="382"/>
      <c r="CH22" s="409" t="str">
        <f>IF(AC36=Dropdown!A40,Text!C264,Text!C265)</f>
        <v>Kessel 2*</v>
      </c>
      <c r="CI22" s="382"/>
      <c r="CJ22" s="409" t="str">
        <f>Text!C277</f>
        <v>Speicher</v>
      </c>
      <c r="CK22" s="382"/>
      <c r="CL22" s="382"/>
      <c r="CM22" s="382"/>
      <c r="CN22" s="410"/>
      <c r="CO22" s="411"/>
      <c r="CP22" s="360">
        <f>Datenbank!H22</f>
        <v>0</v>
      </c>
    </row>
    <row r="23" spans="1:94" ht="12" customHeight="1" x14ac:dyDescent="0.45">
      <c r="A23" s="424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41"/>
      <c r="T23" s="358"/>
      <c r="U23" s="381"/>
      <c r="V23" s="382"/>
      <c r="W23" s="382"/>
      <c r="X23" s="382"/>
      <c r="Y23" s="363" t="str">
        <f>Text!C111</f>
        <v>Elektroinstallation</v>
      </c>
      <c r="AA23" s="339"/>
      <c r="AC23" s="439"/>
      <c r="AE23" s="439"/>
      <c r="AG23" s="439"/>
      <c r="AI23" s="439"/>
      <c r="AJ23" s="439"/>
      <c r="AK23" s="439"/>
      <c r="AL23" s="439"/>
      <c r="AM23" s="439"/>
      <c r="AN23" s="440"/>
      <c r="AO23" s="358"/>
      <c r="AP23" s="384"/>
      <c r="AQ23" s="423">
        <v>11</v>
      </c>
      <c r="AR23" s="552"/>
      <c r="AS23" s="553"/>
      <c r="AT23" s="554"/>
      <c r="AU23" s="333"/>
      <c r="AV23" s="570"/>
      <c r="AW23" s="571"/>
      <c r="AX23" s="333"/>
      <c r="AY23" s="333"/>
      <c r="AZ23" s="334"/>
      <c r="BA23" s="334"/>
      <c r="BB23" s="334"/>
      <c r="BC23" s="335" t="str">
        <f>IF(AV23=Text!$C$159,Projektformular!BB23,IF(AV23=Text!$C$155,20*Projektformular!BA23,""))</f>
        <v/>
      </c>
      <c r="BD23" s="383"/>
      <c r="BE23" s="358"/>
      <c r="BF23" s="384"/>
      <c r="BG23" s="392"/>
      <c r="BH23" s="442"/>
      <c r="BI23" s="442"/>
      <c r="BJ23" s="443" t="str">
        <f>Text!C213</f>
        <v>Gesamte Kesselnennleistung</v>
      </c>
      <c r="BK23" s="442"/>
      <c r="BL23" s="545">
        <f>BL21+BL22</f>
        <v>0</v>
      </c>
      <c r="BM23" s="442"/>
      <c r="BN23" s="442" t="s">
        <v>112</v>
      </c>
      <c r="BO23" s="442"/>
      <c r="BP23" s="442"/>
      <c r="BQ23" s="442"/>
      <c r="BR23" s="442"/>
      <c r="BS23" s="442"/>
      <c r="BT23" s="443" t="str">
        <f>Text!C214</f>
        <v>Minimalleistung (kleinster Kessel)</v>
      </c>
      <c r="BU23" s="442"/>
      <c r="BV23" s="545">
        <f>BV21</f>
        <v>0</v>
      </c>
      <c r="BW23" s="442"/>
      <c r="BX23" s="442" t="s">
        <v>112</v>
      </c>
      <c r="BY23" s="444"/>
      <c r="BZ23" s="358"/>
      <c r="CA23" s="395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410"/>
      <c r="CO23" s="411"/>
      <c r="CP23" s="360" t="str">
        <f>Datenbank!H23</f>
        <v xml:space="preserve">, </v>
      </c>
    </row>
    <row r="24" spans="1:94" ht="12" customHeight="1" x14ac:dyDescent="0.25">
      <c r="A24" s="428" t="str">
        <f>Text!C22</f>
        <v>A03. Ergebnis der Plausibilitätsprüfun durch QMmini</v>
      </c>
      <c r="B24" s="429"/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32"/>
      <c r="T24" s="358"/>
      <c r="U24" s="381"/>
      <c r="V24" s="382"/>
      <c r="W24" s="382"/>
      <c r="X24" s="382"/>
      <c r="Y24" s="363" t="str">
        <f>Text!C112</f>
        <v>Bauliche Massnahmen</v>
      </c>
      <c r="AA24" s="343"/>
      <c r="AC24" s="439" t="str">
        <f>Text!C117</f>
        <v>(Heizhaus und Brennstofflager)</v>
      </c>
      <c r="AE24" s="439"/>
      <c r="AG24" s="439"/>
      <c r="AI24" s="439"/>
      <c r="AJ24" s="439"/>
      <c r="AK24" s="439"/>
      <c r="AL24" s="439"/>
      <c r="AM24" s="439"/>
      <c r="AN24" s="440"/>
      <c r="AO24" s="358"/>
      <c r="AP24" s="384"/>
      <c r="AQ24" s="423">
        <v>12</v>
      </c>
      <c r="AR24" s="552"/>
      <c r="AS24" s="553"/>
      <c r="AT24" s="554"/>
      <c r="AU24" s="333"/>
      <c r="AV24" s="570"/>
      <c r="AW24" s="571"/>
      <c r="AX24" s="333"/>
      <c r="AY24" s="333"/>
      <c r="AZ24" s="334"/>
      <c r="BA24" s="334"/>
      <c r="BB24" s="334"/>
      <c r="BC24" s="335" t="str">
        <f>IF(AV24=Text!$C$159,Projektformular!BB24,IF(AV24=Text!$C$155,20*Projektformular!BA24,""))</f>
        <v/>
      </c>
      <c r="BD24" s="383"/>
      <c r="BE24" s="358"/>
      <c r="BF24" s="381"/>
      <c r="BG24" s="382"/>
      <c r="BH24" s="382"/>
      <c r="BI24" s="382"/>
      <c r="BK24" s="382"/>
      <c r="BL24" s="382"/>
      <c r="BM24" s="382"/>
      <c r="BN24" s="382"/>
      <c r="BO24" s="382"/>
      <c r="BP24" s="382"/>
      <c r="BQ24" s="382"/>
      <c r="BR24" s="382"/>
      <c r="BS24" s="382"/>
      <c r="BT24" s="382"/>
      <c r="BU24" s="382"/>
      <c r="BV24" s="382"/>
      <c r="BW24" s="382"/>
      <c r="BX24" s="382"/>
      <c r="BY24" s="421"/>
      <c r="BZ24" s="358"/>
      <c r="CA24" s="395"/>
      <c r="CB24" s="382"/>
      <c r="CC24" s="382"/>
      <c r="CD24" s="382"/>
      <c r="CE24" s="382"/>
      <c r="CF24" s="382"/>
      <c r="CG24" s="382"/>
      <c r="CH24" s="382"/>
      <c r="CI24" s="382"/>
      <c r="CJ24" s="382"/>
      <c r="CK24" s="382"/>
      <c r="CL24" s="382"/>
      <c r="CM24" s="382"/>
      <c r="CN24" s="410"/>
      <c r="CO24" s="411"/>
      <c r="CP24" s="360" t="str">
        <f>Datenbank!H24</f>
        <v xml:space="preserve">, </v>
      </c>
    </row>
    <row r="25" spans="1:94" ht="12" customHeight="1" x14ac:dyDescent="0.45">
      <c r="A25" s="371"/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433"/>
      <c r="T25" s="358"/>
      <c r="U25" s="381"/>
      <c r="V25" s="382"/>
      <c r="W25" s="382"/>
      <c r="X25" s="382"/>
      <c r="Y25" s="363" t="str">
        <f>Text!C113</f>
        <v>Wärmenetz</v>
      </c>
      <c r="AA25" s="339"/>
      <c r="AC25" s="439" t="str">
        <f>Text!C118</f>
        <v>(Grabungsarbeiten, Rohrleitungen und Übergabestationen)</v>
      </c>
      <c r="AE25" s="439"/>
      <c r="AG25" s="439"/>
      <c r="AI25" s="439"/>
      <c r="AJ25" s="439"/>
      <c r="AK25" s="439"/>
      <c r="AL25" s="439"/>
      <c r="AM25" s="439"/>
      <c r="AN25" s="440"/>
      <c r="AO25" s="358"/>
      <c r="AP25" s="384"/>
      <c r="AQ25" s="423">
        <v>13</v>
      </c>
      <c r="AR25" s="552"/>
      <c r="AS25" s="553"/>
      <c r="AT25" s="554"/>
      <c r="AU25" s="333"/>
      <c r="AV25" s="570"/>
      <c r="AW25" s="571"/>
      <c r="AX25" s="333"/>
      <c r="AY25" s="333"/>
      <c r="AZ25" s="334"/>
      <c r="BA25" s="334"/>
      <c r="BB25" s="334"/>
      <c r="BC25" s="335" t="str">
        <f>IF(AV25=Text!$C$159,Projektformular!BB25,IF(AV25=Text!$C$155,20*Projektformular!BA25,""))</f>
        <v/>
      </c>
      <c r="BD25" s="383"/>
      <c r="BE25" s="358"/>
      <c r="BF25" s="381"/>
      <c r="BG25" s="382"/>
      <c r="BH25" s="382"/>
      <c r="BI25" s="382"/>
      <c r="BJ25" s="363" t="str">
        <f>IF(BL19=Dropdown!A20,"",Text!C215)</f>
        <v>Typenbezeichnung</v>
      </c>
      <c r="BK25" s="382"/>
      <c r="BL25" s="575"/>
      <c r="BM25" s="575"/>
      <c r="BN25" s="575"/>
      <c r="BO25" s="575"/>
      <c r="BP25" s="575"/>
      <c r="BQ25" s="575"/>
      <c r="BR25" s="575"/>
      <c r="BS25" s="575"/>
      <c r="BT25" s="575"/>
      <c r="BU25" s="382"/>
      <c r="BV25" s="382"/>
      <c r="BW25" s="382"/>
      <c r="BX25" s="382"/>
      <c r="BY25" s="421"/>
      <c r="BZ25" s="358"/>
      <c r="CA25" s="395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410"/>
      <c r="CO25" s="411"/>
      <c r="CP25" s="360" t="str">
        <f>Datenbank!H25</f>
        <v>Zaugg</v>
      </c>
    </row>
    <row r="26" spans="1:94" ht="12" customHeight="1" x14ac:dyDescent="0.25">
      <c r="A26" s="381"/>
      <c r="B26" s="382"/>
      <c r="C26" s="382"/>
      <c r="D26" s="382"/>
      <c r="E26" s="363" t="str">
        <f>Text!C23</f>
        <v>Situationserfassung der Abnehmer</v>
      </c>
      <c r="F26" s="382"/>
      <c r="G26" s="445" t="str">
        <f>IF(Berechnungen!AV40&gt;0,Text!C33,Text!C32)</f>
        <v>Kennzahlen sind im plausiblen Bereich</v>
      </c>
      <c r="H26" s="382"/>
      <c r="I26" s="382"/>
      <c r="J26" s="382"/>
      <c r="K26" s="382"/>
      <c r="L26" s="363"/>
      <c r="M26" s="382"/>
      <c r="N26" s="445"/>
      <c r="O26" s="382"/>
      <c r="P26" s="382"/>
      <c r="Q26" s="382"/>
      <c r="R26" s="382"/>
      <c r="S26" s="421"/>
      <c r="T26" s="358"/>
      <c r="U26" s="381"/>
      <c r="V26" s="382"/>
      <c r="W26" s="382"/>
      <c r="X26" s="382"/>
      <c r="Y26" s="363" t="str">
        <f>Text!C114</f>
        <v>Planung</v>
      </c>
      <c r="AA26" s="341"/>
      <c r="AC26" s="439"/>
      <c r="AE26" s="439"/>
      <c r="AG26" s="439"/>
      <c r="AI26" s="439"/>
      <c r="AJ26" s="439"/>
      <c r="AK26" s="439"/>
      <c r="AL26" s="439"/>
      <c r="AM26" s="439"/>
      <c r="AN26" s="440"/>
      <c r="AO26" s="358"/>
      <c r="AP26" s="384"/>
      <c r="AQ26" s="423">
        <v>14</v>
      </c>
      <c r="AR26" s="552"/>
      <c r="AS26" s="553"/>
      <c r="AT26" s="554"/>
      <c r="AU26" s="333"/>
      <c r="AV26" s="570"/>
      <c r="AW26" s="571"/>
      <c r="AX26" s="333"/>
      <c r="AY26" s="333"/>
      <c r="AZ26" s="334"/>
      <c r="BA26" s="334"/>
      <c r="BB26" s="334"/>
      <c r="BC26" s="335" t="str">
        <f>IF(AV26=Text!$C$159,Projektformular!BB26,IF(AV26=Text!$C$155,20*Projektformular!BA26,""))</f>
        <v/>
      </c>
      <c r="BD26" s="383"/>
      <c r="BE26" s="358"/>
      <c r="BF26" s="381"/>
      <c r="BG26" s="382"/>
      <c r="BH26" s="382"/>
      <c r="BI26" s="382"/>
      <c r="BJ26" s="363" t="str">
        <f>IF(BL19=Dropdown!A20,"",Text!C216)</f>
        <v>Hersteller / Lieferant</v>
      </c>
      <c r="BK26" s="382"/>
      <c r="BL26" s="575"/>
      <c r="BM26" s="575"/>
      <c r="BN26" s="575"/>
      <c r="BO26" s="575"/>
      <c r="BP26" s="575"/>
      <c r="BQ26" s="575"/>
      <c r="BR26" s="575"/>
      <c r="BS26" s="575"/>
      <c r="BT26" s="575"/>
      <c r="BU26" s="382"/>
      <c r="BV26" s="382"/>
      <c r="BW26" s="382"/>
      <c r="BX26" s="382"/>
      <c r="BY26" s="421"/>
      <c r="BZ26" s="358"/>
      <c r="CA26" s="395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410"/>
      <c r="CO26" s="411"/>
      <c r="CP26" s="360">
        <f>Datenbank!H26</f>
        <v>0</v>
      </c>
    </row>
    <row r="27" spans="1:94" ht="12" customHeight="1" x14ac:dyDescent="0.45">
      <c r="A27" s="381"/>
      <c r="B27" s="382"/>
      <c r="C27" s="382"/>
      <c r="D27" s="382"/>
      <c r="E27" s="363" t="str">
        <f>Text!C24</f>
        <v>Leistungsreserve</v>
      </c>
      <c r="F27" s="382"/>
      <c r="G27" s="445" t="e">
        <f>IF(1-(AZ37/BL23)&gt;=0.3,Text!C35,Text!C34)</f>
        <v>#DIV/0!</v>
      </c>
      <c r="H27" s="382"/>
      <c r="I27" s="382"/>
      <c r="J27" s="382"/>
      <c r="K27" s="382"/>
      <c r="L27" s="363"/>
      <c r="M27" s="382"/>
      <c r="N27" s="445"/>
      <c r="O27" s="382"/>
      <c r="P27" s="412"/>
      <c r="Q27" s="412"/>
      <c r="R27" s="382"/>
      <c r="S27" s="421"/>
      <c r="T27" s="358"/>
      <c r="U27" s="381"/>
      <c r="V27" s="382"/>
      <c r="W27" s="382"/>
      <c r="X27" s="382"/>
      <c r="Y27" s="363" t="str">
        <f>Text!C115</f>
        <v>Sonstiges</v>
      </c>
      <c r="AA27" s="339"/>
      <c r="AC27" s="439"/>
      <c r="AE27" s="439"/>
      <c r="AG27" s="439"/>
      <c r="AI27" s="439"/>
      <c r="AJ27" s="439"/>
      <c r="AK27" s="439"/>
      <c r="AL27" s="439"/>
      <c r="AM27" s="439"/>
      <c r="AN27" s="440"/>
      <c r="AO27" s="358"/>
      <c r="AP27" s="384"/>
      <c r="AQ27" s="423">
        <v>15</v>
      </c>
      <c r="AR27" s="552"/>
      <c r="AS27" s="553"/>
      <c r="AT27" s="554"/>
      <c r="AU27" s="333"/>
      <c r="AV27" s="570"/>
      <c r="AW27" s="571"/>
      <c r="AX27" s="333"/>
      <c r="AY27" s="333"/>
      <c r="AZ27" s="334"/>
      <c r="BA27" s="334"/>
      <c r="BB27" s="334"/>
      <c r="BC27" s="335" t="str">
        <f>IF(AV27=Text!$C$159,Projektformular!BB27,IF(AV27=Text!$C$155,20*Projektformular!BA27,""))</f>
        <v/>
      </c>
      <c r="BD27" s="383"/>
      <c r="BE27" s="358"/>
      <c r="BF27" s="381"/>
      <c r="BG27" s="382"/>
      <c r="BH27" s="382"/>
      <c r="BI27" s="382"/>
      <c r="BJ27" s="363" t="str">
        <f>Text!C217</f>
        <v>jährl. Brennstoffbedarf</v>
      </c>
      <c r="BK27" s="382"/>
      <c r="BL27" s="337" t="e">
        <f>ROUND(IF(AC38=Dropdown!A55,Projektformular!BB37/0.85/4.8,IF(AC38=Dropdown!A56,Projektformular!BB37/0.85/800,Projektformular!BB37/0.85/850)),-1)</f>
        <v>#DIV/0!</v>
      </c>
      <c r="BM27" s="382"/>
      <c r="BN27" s="446" t="str">
        <f>IF(AC38=Dropdown!A55,Text!C228,Text!C229)</f>
        <v>Srm/a</v>
      </c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421"/>
      <c r="BZ27" s="358"/>
      <c r="CA27" s="395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410"/>
      <c r="CO27" s="411"/>
      <c r="CP27" s="360">
        <f>Datenbank!H27</f>
        <v>0</v>
      </c>
    </row>
    <row r="28" spans="1:94" ht="12" customHeight="1" x14ac:dyDescent="0.45">
      <c r="A28" s="381"/>
      <c r="B28" s="382"/>
      <c r="C28" s="382"/>
      <c r="D28" s="382"/>
      <c r="E28" s="363" t="str">
        <f>Text!C25</f>
        <v>Dimensionierung des Holzkessels</v>
      </c>
      <c r="F28" s="382"/>
      <c r="G28" s="445" t="e">
        <f>BL28</f>
        <v>#DIV/0!</v>
      </c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421"/>
      <c r="T28" s="358"/>
      <c r="U28" s="381"/>
      <c r="V28" s="382"/>
      <c r="W28" s="382"/>
      <c r="X28" s="382"/>
      <c r="Y28" s="363"/>
      <c r="AA28" s="447"/>
      <c r="AC28" s="439"/>
      <c r="AE28" s="448"/>
      <c r="AG28" s="448"/>
      <c r="AI28" s="448"/>
      <c r="AJ28" s="448"/>
      <c r="AK28" s="448"/>
      <c r="AL28" s="448"/>
      <c r="AM28" s="439"/>
      <c r="AN28" s="440"/>
      <c r="AO28" s="358"/>
      <c r="AP28" s="384"/>
      <c r="AQ28" s="423">
        <v>16</v>
      </c>
      <c r="AR28" s="552"/>
      <c r="AS28" s="553"/>
      <c r="AT28" s="554"/>
      <c r="AU28" s="333"/>
      <c r="AV28" s="570"/>
      <c r="AW28" s="571"/>
      <c r="AX28" s="333"/>
      <c r="AY28" s="333"/>
      <c r="AZ28" s="334"/>
      <c r="BA28" s="334"/>
      <c r="BB28" s="334"/>
      <c r="BC28" s="335" t="str">
        <f>IF(AV28=Text!$C$159,Projektformular!BB28,IF(AV28=Text!$C$155,20*Projektformular!BA28,""))</f>
        <v/>
      </c>
      <c r="BD28" s="383"/>
      <c r="BE28" s="358"/>
      <c r="BF28" s="381"/>
      <c r="BG28" s="382"/>
      <c r="BH28" s="382"/>
      <c r="BI28" s="382"/>
      <c r="BJ28" s="363" t="str">
        <f>Text!C218</f>
        <v>Dimensionierung Kessel</v>
      </c>
      <c r="BK28" s="382"/>
      <c r="BL28" s="449" t="e">
        <f>IF(BL23&lt;AZ37,Dropdown!A77,IF(BL23&gt;BL18,Dropdown!A78,Dropdown!A76))</f>
        <v>#DIV/0!</v>
      </c>
      <c r="BM28" s="382"/>
      <c r="BN28" s="450"/>
      <c r="BP28" s="363" t="e">
        <f>IF(BL28=Dropdown!A76,"",Text!C203)</f>
        <v>#DIV/0!</v>
      </c>
      <c r="BQ28" s="555"/>
      <c r="BR28" s="555"/>
      <c r="BS28" s="555"/>
      <c r="BT28" s="555"/>
      <c r="BU28" s="555"/>
      <c r="BV28" s="555"/>
      <c r="BW28" s="555"/>
      <c r="BX28" s="555"/>
      <c r="BY28" s="421"/>
      <c r="BZ28" s="358"/>
      <c r="CA28" s="395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410"/>
      <c r="CO28" s="411"/>
      <c r="CP28" s="360">
        <f>Datenbank!H28</f>
        <v>0</v>
      </c>
    </row>
    <row r="29" spans="1:94" ht="12" customHeight="1" x14ac:dyDescent="0.45">
      <c r="A29" s="381"/>
      <c r="B29" s="382"/>
      <c r="C29" s="382"/>
      <c r="D29" s="382"/>
      <c r="E29" s="363" t="str">
        <f>Text!C26</f>
        <v>Wärmenetz</v>
      </c>
      <c r="F29" s="382"/>
      <c r="G29" s="445" t="str">
        <f>IF(AC33=Dropdown!A20,Text!C44,IF(BT12&lt;30,Text!C40,Text!C39))</f>
        <v>∆T Vorlauf-Rücklauf zu klein</v>
      </c>
      <c r="H29" s="382"/>
      <c r="I29" s="382"/>
      <c r="J29" s="382"/>
      <c r="K29" s="382"/>
      <c r="L29" s="382"/>
      <c r="M29" s="382"/>
      <c r="N29" s="382"/>
      <c r="O29" s="382"/>
      <c r="P29" s="451"/>
      <c r="Q29" s="451"/>
      <c r="R29" s="382"/>
      <c r="S29" s="421"/>
      <c r="T29" s="358"/>
      <c r="U29" s="381"/>
      <c r="V29" s="382"/>
      <c r="W29" s="382"/>
      <c r="X29" s="382"/>
      <c r="Y29" s="443" t="str">
        <f>Text!C119</f>
        <v>Gesamt-Investitionskosten</v>
      </c>
      <c r="AA29" s="547">
        <f>SUM(AA21:AA27)</f>
        <v>0</v>
      </c>
      <c r="AC29" s="439"/>
      <c r="AE29" s="439"/>
      <c r="AG29" s="439"/>
      <c r="AI29" s="439"/>
      <c r="AJ29" s="439"/>
      <c r="AK29" s="439"/>
      <c r="AL29" s="439"/>
      <c r="AM29" s="439"/>
      <c r="AN29" s="440"/>
      <c r="AO29" s="358"/>
      <c r="AP29" s="384"/>
      <c r="AQ29" s="423">
        <v>17</v>
      </c>
      <c r="AR29" s="552"/>
      <c r="AS29" s="553"/>
      <c r="AT29" s="554"/>
      <c r="AU29" s="333"/>
      <c r="AV29" s="570"/>
      <c r="AW29" s="571"/>
      <c r="AX29" s="333"/>
      <c r="AY29" s="333"/>
      <c r="AZ29" s="334"/>
      <c r="BA29" s="334"/>
      <c r="BB29" s="334"/>
      <c r="BC29" s="335" t="str">
        <f>IF(AV29=Text!$C$159,Projektformular!BB29,IF(AV29=Text!$C$155,20*Projektformular!BA29,""))</f>
        <v/>
      </c>
      <c r="BD29" s="383"/>
      <c r="BE29" s="358"/>
      <c r="BF29" s="381"/>
      <c r="BG29" s="382"/>
      <c r="BH29" s="382"/>
      <c r="BI29" s="382"/>
      <c r="BJ29" s="363" t="str">
        <f>Text!C219</f>
        <v>Über- oder Unterdimensionierung</v>
      </c>
      <c r="BK29" s="382"/>
      <c r="BL29" s="344" t="e">
        <f>(BL23/AZ37)-1</f>
        <v>#DIV/0!</v>
      </c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421"/>
      <c r="BZ29" s="358"/>
      <c r="CA29" s="395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410"/>
      <c r="CO29" s="411"/>
      <c r="CP29" s="360">
        <f>Datenbank!H29</f>
        <v>0</v>
      </c>
    </row>
    <row r="30" spans="1:94" ht="12" customHeight="1" x14ac:dyDescent="0.45">
      <c r="A30" s="381"/>
      <c r="B30" s="382"/>
      <c r="C30" s="382"/>
      <c r="D30" s="382"/>
      <c r="E30" s="363" t="str">
        <f>Text!C27</f>
        <v>Anschlussdichte</v>
      </c>
      <c r="F30" s="382"/>
      <c r="G30" s="445" t="e">
        <f>IF(AC33=Dropdown!A20,Text!C44,IF(Berechnungen!D92=Dropdown!A20,Text!C43,Text!C42))</f>
        <v>#DIV/0!</v>
      </c>
      <c r="H30" s="382"/>
      <c r="I30" s="382"/>
      <c r="J30" s="382"/>
      <c r="K30" s="382"/>
      <c r="L30" s="382"/>
      <c r="M30" s="382"/>
      <c r="N30" s="382"/>
      <c r="O30" s="382"/>
      <c r="P30" s="451"/>
      <c r="Q30" s="451"/>
      <c r="R30" s="382"/>
      <c r="S30" s="383"/>
      <c r="T30" s="358"/>
      <c r="U30" s="424"/>
      <c r="V30" s="425"/>
      <c r="W30" s="425"/>
      <c r="X30" s="425"/>
      <c r="Y30" s="425"/>
      <c r="Z30" s="425"/>
      <c r="AA30" s="425"/>
      <c r="AB30" s="425"/>
      <c r="AC30" s="425"/>
      <c r="AD30" s="452"/>
      <c r="AE30" s="452"/>
      <c r="AF30" s="425"/>
      <c r="AG30" s="452"/>
      <c r="AH30" s="425"/>
      <c r="AI30" s="452"/>
      <c r="AJ30" s="452"/>
      <c r="AK30" s="452"/>
      <c r="AL30" s="452"/>
      <c r="AM30" s="452"/>
      <c r="AN30" s="453"/>
      <c r="AO30" s="358"/>
      <c r="AP30" s="384"/>
      <c r="AQ30" s="423">
        <v>18</v>
      </c>
      <c r="AR30" s="552"/>
      <c r="AS30" s="553"/>
      <c r="AT30" s="554"/>
      <c r="AU30" s="333"/>
      <c r="AV30" s="570"/>
      <c r="AW30" s="571"/>
      <c r="AX30" s="333"/>
      <c r="AY30" s="333"/>
      <c r="AZ30" s="334"/>
      <c r="BA30" s="334"/>
      <c r="BB30" s="334"/>
      <c r="BC30" s="335" t="str">
        <f>IF(AV30=Text!$C$159,Projektformular!BB30,IF(AV30=Text!$C$155,20*Projektformular!BA30,""))</f>
        <v/>
      </c>
      <c r="BD30" s="383"/>
      <c r="BE30" s="358"/>
      <c r="BF30" s="381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421"/>
      <c r="BZ30" s="358"/>
      <c r="CA30" s="395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410"/>
      <c r="CO30" s="411"/>
      <c r="CP30" s="360">
        <f>Datenbank!H30</f>
        <v>0</v>
      </c>
    </row>
    <row r="31" spans="1:94" ht="12" customHeight="1" x14ac:dyDescent="0.45">
      <c r="A31" s="381"/>
      <c r="B31" s="382"/>
      <c r="C31" s="382"/>
      <c r="D31" s="382"/>
      <c r="E31" s="363" t="str">
        <f>Text!C28</f>
        <v>Ganzjahresbetrieb</v>
      </c>
      <c r="F31" s="382"/>
      <c r="G31" s="445" t="e">
        <f>IF(AC34=Dropdown!A20,Text!C47,IF(Projektformular!BL42=Dropdown!A20,Text!C46,Text!C45))</f>
        <v>#VALUE!</v>
      </c>
      <c r="H31" s="382"/>
      <c r="I31" s="382"/>
      <c r="J31" s="382"/>
      <c r="K31" s="382"/>
      <c r="L31" s="382"/>
      <c r="M31" s="382"/>
      <c r="N31" s="382"/>
      <c r="O31" s="382"/>
      <c r="P31" s="451"/>
      <c r="Q31" s="451"/>
      <c r="R31" s="382"/>
      <c r="S31" s="383"/>
      <c r="T31" s="358"/>
      <c r="U31" s="428" t="str">
        <f>Text!C120</f>
        <v>A07. Technische Daten</v>
      </c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32"/>
      <c r="AO31" s="358"/>
      <c r="AP31" s="384"/>
      <c r="AQ31" s="423">
        <v>19</v>
      </c>
      <c r="AR31" s="552"/>
      <c r="AS31" s="553"/>
      <c r="AT31" s="554"/>
      <c r="AU31" s="333"/>
      <c r="AV31" s="570"/>
      <c r="AW31" s="571"/>
      <c r="AX31" s="333"/>
      <c r="AY31" s="333"/>
      <c r="AZ31" s="334"/>
      <c r="BA31" s="334"/>
      <c r="BB31" s="334"/>
      <c r="BC31" s="335" t="str">
        <f>IF(AV31=Text!$C$159,Projektformular!BB31,IF(AV31=Text!$C$155,20*Projektformular!BA31,""))</f>
        <v/>
      </c>
      <c r="BD31" s="383"/>
      <c r="BE31" s="358"/>
      <c r="BF31" s="381"/>
      <c r="BG31" s="438" t="str">
        <f>Text!C223</f>
        <v>Verpflichtung des Projektverantwortlichen:</v>
      </c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421"/>
      <c r="BZ31" s="358"/>
      <c r="CA31" s="39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410"/>
      <c r="CO31" s="411"/>
      <c r="CP31" s="360">
        <f>Datenbank!H31</f>
        <v>0</v>
      </c>
    </row>
    <row r="32" spans="1:94" ht="12" customHeight="1" x14ac:dyDescent="0.45">
      <c r="A32" s="381"/>
      <c r="B32" s="382"/>
      <c r="C32" s="382"/>
      <c r="D32" s="382"/>
      <c r="E32" s="363" t="str">
        <f>Text!C29</f>
        <v>Speicher</v>
      </c>
      <c r="F32" s="382"/>
      <c r="G32" s="445" t="str">
        <f>IF(BL49=Dropdown!A20,Text!C49,IF(AND(BL48&lt;BL47,BL48&gt;=BL46),Text!C50,Text!C48))</f>
        <v>Speicher zu klein</v>
      </c>
      <c r="H32" s="382"/>
      <c r="I32" s="382"/>
      <c r="J32" s="382"/>
      <c r="K32" s="382"/>
      <c r="L32" s="382"/>
      <c r="M32" s="382"/>
      <c r="N32" s="382"/>
      <c r="O32" s="382"/>
      <c r="P32" s="451"/>
      <c r="Q32" s="451"/>
      <c r="R32" s="382"/>
      <c r="S32" s="383"/>
      <c r="T32" s="358"/>
      <c r="U32" s="371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433"/>
      <c r="AO32" s="358"/>
      <c r="AP32" s="384"/>
      <c r="AQ32" s="423">
        <v>20</v>
      </c>
      <c r="AR32" s="552"/>
      <c r="AS32" s="553"/>
      <c r="AT32" s="554"/>
      <c r="AU32" s="333"/>
      <c r="AV32" s="570"/>
      <c r="AW32" s="571"/>
      <c r="AX32" s="333"/>
      <c r="AY32" s="333"/>
      <c r="AZ32" s="334"/>
      <c r="BA32" s="334"/>
      <c r="BB32" s="334"/>
      <c r="BC32" s="335" t="str">
        <f>IF(AV32=Text!$C$159,Projektformular!BB32,IF(AV32=Text!$C$155,20*Projektformular!BA32,""))</f>
        <v/>
      </c>
      <c r="BD32" s="383"/>
      <c r="BE32" s="358"/>
      <c r="BF32" s="381"/>
      <c r="BG32" s="382" t="str">
        <f>IF(BL19="","",IF(BL19=Dropdown!A20,Text!C225,Text!C224))</f>
        <v>Der Projektverantwortliche verpflichtet sich mit dem Kessellieferanten die erforderliche Raumhöhe zu diskutieren.</v>
      </c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421"/>
      <c r="BZ32" s="358"/>
      <c r="CA32" s="395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410"/>
      <c r="CO32" s="411"/>
      <c r="CP32" s="360" t="str">
        <f>Datenbank!H32</f>
        <v>Ja</v>
      </c>
    </row>
    <row r="33" spans="1:96" ht="12" customHeight="1" x14ac:dyDescent="0.45">
      <c r="A33" s="381"/>
      <c r="B33" s="382"/>
      <c r="C33" s="382"/>
      <c r="D33" s="382"/>
      <c r="E33" s="363" t="str">
        <f>Text!C30</f>
        <v>Empfehlung Brennstofflager erfüllt?</v>
      </c>
      <c r="F33" s="382"/>
      <c r="G33" s="445" t="e">
        <f>BL57</f>
        <v>#DIV/0!</v>
      </c>
      <c r="H33" s="382"/>
      <c r="I33" s="382"/>
      <c r="J33" s="382"/>
      <c r="K33" s="382"/>
      <c r="L33" s="382"/>
      <c r="M33" s="382"/>
      <c r="N33" s="382"/>
      <c r="O33" s="382"/>
      <c r="P33" s="451"/>
      <c r="Q33" s="451"/>
      <c r="R33" s="382"/>
      <c r="S33" s="383"/>
      <c r="T33" s="358"/>
      <c r="U33" s="381"/>
      <c r="V33" s="382"/>
      <c r="W33" s="382"/>
      <c r="X33" s="382"/>
      <c r="Y33" s="363"/>
      <c r="Z33" s="382"/>
      <c r="AA33" s="454" t="str">
        <f>Text!C121</f>
        <v>Wärmenetz</v>
      </c>
      <c r="AB33" s="382"/>
      <c r="AC33" s="345"/>
      <c r="AD33" s="382"/>
      <c r="AE33" s="382"/>
      <c r="AF33" s="382"/>
      <c r="AG33" s="363"/>
      <c r="AH33" s="382"/>
      <c r="AI33" s="382"/>
      <c r="AJ33" s="382"/>
      <c r="AK33" s="382"/>
      <c r="AL33" s="382"/>
      <c r="AM33" s="382"/>
      <c r="AN33" s="421"/>
      <c r="AO33" s="358"/>
      <c r="AP33" s="384"/>
      <c r="AQ33" s="455"/>
      <c r="AR33" s="436"/>
      <c r="AS33" s="436"/>
      <c r="AT33" s="436"/>
      <c r="AU33" s="436"/>
      <c r="AV33" s="436"/>
      <c r="AW33" s="436"/>
      <c r="AX33" s="436"/>
      <c r="AY33" s="437" t="str">
        <f>Text!C175</f>
        <v>Summe</v>
      </c>
      <c r="AZ33" s="335">
        <f>SUM(AZ13:AZ32)</f>
        <v>0</v>
      </c>
      <c r="BA33" s="456" t="s">
        <v>112</v>
      </c>
      <c r="BB33" s="335">
        <f>SUM(BB13:BB32)</f>
        <v>0</v>
      </c>
      <c r="BC33" s="456" t="s">
        <v>116</v>
      </c>
      <c r="BD33" s="383"/>
      <c r="BE33" s="358"/>
      <c r="BF33" s="381"/>
      <c r="BG33" s="382" t="str">
        <f>IF(BL19="","",IF(BL19=Dropdown!A19,"",Text!C226))</f>
        <v/>
      </c>
      <c r="BI33" s="382"/>
      <c r="BJ33" s="382"/>
      <c r="BK33" s="382"/>
      <c r="BL33" s="382"/>
      <c r="BM33" s="382"/>
      <c r="BN33" s="382"/>
      <c r="BO33" s="382"/>
      <c r="BP33" s="382"/>
      <c r="BQ33" s="382"/>
      <c r="BR33" s="363"/>
      <c r="BS33" s="382"/>
      <c r="BT33" s="363"/>
      <c r="BU33" s="363"/>
      <c r="BV33" s="363"/>
      <c r="BW33" s="363"/>
      <c r="BX33" s="382"/>
      <c r="BY33" s="421"/>
      <c r="BZ33" s="358"/>
      <c r="CA33" s="395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410"/>
      <c r="CO33" s="411"/>
      <c r="CP33" s="360" t="e">
        <f>Datenbank!H33</f>
        <v>#DIV/0!</v>
      </c>
    </row>
    <row r="34" spans="1:96" ht="12" customHeight="1" x14ac:dyDescent="0.45">
      <c r="A34" s="381"/>
      <c r="B34" s="382"/>
      <c r="C34" s="382"/>
      <c r="D34" s="382"/>
      <c r="E34" s="363" t="str">
        <f>Text!C31</f>
        <v>Verpflichtungen des Projektverantwortlichen</v>
      </c>
      <c r="F34" s="382"/>
      <c r="G34" s="457" t="str">
        <f>Text!C54</f>
        <v>Die in Abschnitt A11 aufgeführten Verpflichtungen werden erfüllt.</v>
      </c>
      <c r="H34" s="382"/>
      <c r="I34" s="382"/>
      <c r="J34" s="382"/>
      <c r="K34" s="382"/>
      <c r="L34" s="382"/>
      <c r="M34" s="382"/>
      <c r="N34" s="382"/>
      <c r="O34" s="382"/>
      <c r="P34" s="451"/>
      <c r="Q34" s="451"/>
      <c r="R34" s="382"/>
      <c r="S34" s="383"/>
      <c r="T34" s="358"/>
      <c r="U34" s="381"/>
      <c r="V34" s="382"/>
      <c r="W34" s="382"/>
      <c r="X34" s="382"/>
      <c r="Y34" s="363"/>
      <c r="Z34" s="382"/>
      <c r="AA34" s="454" t="str">
        <f>Text!C122</f>
        <v>Ganzjahresbetrieb</v>
      </c>
      <c r="AB34" s="382"/>
      <c r="AC34" s="345"/>
      <c r="AD34" s="382"/>
      <c r="AG34" s="363" t="str">
        <f>Text!C129</f>
        <v>Betriebsstunden</v>
      </c>
      <c r="AH34" s="382"/>
      <c r="AI34" s="336">
        <f>IF(AC34=Dropdown!A19,8760,4800)</f>
        <v>4800</v>
      </c>
      <c r="AJ34" s="412" t="str">
        <f>IF(AC34=Dropdown!A19,Text!C130,Text!C131)</f>
        <v>Stunden (anpassen an Klimaregion)</v>
      </c>
      <c r="AL34" s="412"/>
      <c r="AM34" s="382"/>
      <c r="AN34" s="421"/>
      <c r="AO34" s="358"/>
      <c r="AP34" s="384"/>
      <c r="AQ34" s="458"/>
      <c r="AR34" s="452"/>
      <c r="AS34" s="452"/>
      <c r="AT34" s="452"/>
      <c r="AU34" s="452"/>
      <c r="AV34" s="452"/>
      <c r="AW34" s="452"/>
      <c r="AX34" s="452"/>
      <c r="AY34" s="459"/>
      <c r="AZ34" s="460"/>
      <c r="BA34" s="461" t="str">
        <f>Text!C174</f>
        <v>davon WW</v>
      </c>
      <c r="BB34" s="335">
        <f>SUM(BC13:BC32)</f>
        <v>0</v>
      </c>
      <c r="BC34" s="456" t="s">
        <v>116</v>
      </c>
      <c r="BD34" s="383"/>
      <c r="BE34" s="358"/>
      <c r="BF34" s="381"/>
      <c r="BG34" s="382" t="str">
        <f>IF(BL19="","",IF(BL19=Dropdown!A19,"",Text!C227))</f>
        <v/>
      </c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421"/>
      <c r="BZ34" s="358"/>
      <c r="CA34" s="395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410"/>
      <c r="CO34" s="411"/>
      <c r="CP34" s="360" t="e">
        <f>Datenbank!H34</f>
        <v>#DIV/0!</v>
      </c>
    </row>
    <row r="35" spans="1:96" ht="12" customHeight="1" x14ac:dyDescent="0.45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7"/>
      <c r="T35" s="358"/>
      <c r="U35" s="381"/>
      <c r="V35" s="382"/>
      <c r="W35" s="382"/>
      <c r="X35" s="382"/>
      <c r="Y35" s="363"/>
      <c r="Z35" s="382"/>
      <c r="AA35" s="462" t="str">
        <f>Text!C124</f>
        <v>Zusätzliche erneuerbare Energieträger oder Systeme</v>
      </c>
      <c r="AB35" s="382"/>
      <c r="AC35" s="560"/>
      <c r="AD35" s="560"/>
      <c r="AE35" s="560"/>
      <c r="AF35" s="560"/>
      <c r="AG35" s="382"/>
      <c r="AH35" s="382"/>
      <c r="AI35" s="555"/>
      <c r="AJ35" s="555"/>
      <c r="AK35" s="555"/>
      <c r="AL35" s="555"/>
      <c r="AM35" s="555"/>
      <c r="AN35" s="421"/>
      <c r="AO35" s="358"/>
      <c r="AP35" s="384"/>
      <c r="AQ35" s="463"/>
      <c r="AR35" s="464"/>
      <c r="AS35" s="464"/>
      <c r="AT35" s="464"/>
      <c r="AU35" s="464"/>
      <c r="AV35" s="464"/>
      <c r="AW35" s="464"/>
      <c r="AX35" s="464"/>
      <c r="AY35" s="461" t="str">
        <f>Text!C176</f>
        <v>Wärmeverteilverluste</v>
      </c>
      <c r="AZ35" s="335" t="e">
        <f>IF(AC33=Dropdown!A20,0,BO12)</f>
        <v>#DIV/0!</v>
      </c>
      <c r="BA35" s="456" t="s">
        <v>112</v>
      </c>
      <c r="BB35" s="335" t="e">
        <f>IF(AC33=Dropdown!A20,0,BN12*1000)</f>
        <v>#DIV/0!</v>
      </c>
      <c r="BC35" s="456" t="s">
        <v>116</v>
      </c>
      <c r="BD35" s="383"/>
      <c r="BE35" s="358"/>
      <c r="BF35" s="424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41"/>
      <c r="BZ35" s="358"/>
      <c r="CA35" s="395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410"/>
      <c r="CO35" s="411"/>
      <c r="CP35" s="360" t="str">
        <f>Datenbank!H35</f>
        <v>Nein</v>
      </c>
    </row>
    <row r="36" spans="1:96" ht="12" customHeight="1" x14ac:dyDescent="0.45">
      <c r="A36" s="371"/>
      <c r="B36" s="465" t="str">
        <f>Text!C55</f>
        <v>Bestätigung des Projektverantwortlichen</v>
      </c>
      <c r="C36" s="372"/>
      <c r="D36" s="372"/>
      <c r="E36" s="373"/>
      <c r="F36" s="373"/>
      <c r="G36" s="466"/>
      <c r="H36" s="372"/>
      <c r="I36" s="372"/>
      <c r="J36" s="372"/>
      <c r="K36" s="373"/>
      <c r="L36" s="373"/>
      <c r="M36" s="373"/>
      <c r="N36" s="466"/>
      <c r="O36" s="372"/>
      <c r="P36" s="372"/>
      <c r="Q36" s="372"/>
      <c r="R36" s="372"/>
      <c r="S36" s="394"/>
      <c r="T36" s="358"/>
      <c r="U36" s="381"/>
      <c r="V36" s="382"/>
      <c r="W36" s="382"/>
      <c r="X36" s="382"/>
      <c r="Y36" s="363"/>
      <c r="Z36" s="382"/>
      <c r="AA36" s="454" t="str">
        <f>Text!C125</f>
        <v>Kesselkonfiguration</v>
      </c>
      <c r="AB36" s="382"/>
      <c r="AC36" s="560"/>
      <c r="AD36" s="560"/>
      <c r="AE36" s="560"/>
      <c r="AF36" s="560"/>
      <c r="AG36" s="560"/>
      <c r="AH36" s="412"/>
      <c r="AI36" s="412"/>
      <c r="AJ36" s="451"/>
      <c r="AK36" s="451"/>
      <c r="AL36" s="451"/>
      <c r="AM36" s="412"/>
      <c r="AN36" s="467"/>
      <c r="AO36" s="358"/>
      <c r="AP36" s="384"/>
      <c r="AQ36" s="463"/>
      <c r="AR36" s="468"/>
      <c r="AS36" s="468"/>
      <c r="AT36" s="468"/>
      <c r="AU36" s="468" t="str">
        <f>Text!C177</f>
        <v>Reserve:</v>
      </c>
      <c r="AV36" s="553"/>
      <c r="AW36" s="553"/>
      <c r="AX36" s="553"/>
      <c r="AY36" s="554"/>
      <c r="AZ36" s="334"/>
      <c r="BA36" s="456" t="s">
        <v>112</v>
      </c>
      <c r="BB36" s="334"/>
      <c r="BC36" s="456" t="s">
        <v>116</v>
      </c>
      <c r="BD36" s="383"/>
      <c r="BE36" s="358"/>
      <c r="BF36" s="428" t="str">
        <f>Text!C230</f>
        <v>A12. Systemwahl QMmini</v>
      </c>
      <c r="BG36" s="428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32"/>
      <c r="BZ36" s="358"/>
      <c r="CA36" s="395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410"/>
      <c r="CO36" s="411"/>
      <c r="CP36" s="360" t="e">
        <f>Datenbank!H36</f>
        <v>#DIV/0!</v>
      </c>
    </row>
    <row r="37" spans="1:96" ht="12" customHeight="1" x14ac:dyDescent="0.45">
      <c r="A37" s="381"/>
      <c r="B37" s="469"/>
      <c r="C37" s="382"/>
      <c r="D37" s="382"/>
      <c r="E37" s="363"/>
      <c r="F37" s="363"/>
      <c r="G37" s="470"/>
      <c r="H37" s="382"/>
      <c r="I37" s="382"/>
      <c r="J37" s="382"/>
      <c r="K37" s="363"/>
      <c r="L37" s="363"/>
      <c r="M37" s="363"/>
      <c r="N37" s="470"/>
      <c r="O37" s="382"/>
      <c r="P37" s="382"/>
      <c r="Q37" s="382"/>
      <c r="R37" s="382"/>
      <c r="S37" s="383"/>
      <c r="T37" s="358"/>
      <c r="U37" s="381"/>
      <c r="V37" s="382"/>
      <c r="W37" s="382"/>
      <c r="X37" s="382"/>
      <c r="Y37" s="363"/>
      <c r="Z37" s="382"/>
      <c r="AA37" s="454" t="str">
        <f>Text!C134</f>
        <v>Feinstaubabscheider</v>
      </c>
      <c r="AB37" s="382"/>
      <c r="AC37" s="560"/>
      <c r="AD37" s="560"/>
      <c r="AE37" s="560"/>
      <c r="AF37" s="560"/>
      <c r="AG37" s="560"/>
      <c r="AH37" s="412"/>
      <c r="AI37" s="555"/>
      <c r="AJ37" s="555"/>
      <c r="AK37" s="555"/>
      <c r="AL37" s="555"/>
      <c r="AM37" s="555"/>
      <c r="AN37" s="467"/>
      <c r="AO37" s="471"/>
      <c r="AP37" s="384"/>
      <c r="AQ37" s="463"/>
      <c r="AR37" s="464"/>
      <c r="AS37" s="464"/>
      <c r="AT37" s="464"/>
      <c r="AU37" s="464"/>
      <c r="AV37" s="464"/>
      <c r="AW37" s="464"/>
      <c r="AX37" s="464"/>
      <c r="AY37" s="472" t="str">
        <f>Text!C178</f>
        <v>Gesamtsumme</v>
      </c>
      <c r="AZ37" s="346" t="e">
        <f>IF(AC33=Dropdown!A20,ROUND(AZ33+AZ36,0),ROUND(AZ33+AZ35+AZ36,0))</f>
        <v>#DIV/0!</v>
      </c>
      <c r="BA37" s="473" t="s">
        <v>112</v>
      </c>
      <c r="BB37" s="346" t="e">
        <f>IF(AC33=Dropdown!A20,BB33+BB36,BB33+BB35+BB36)</f>
        <v>#DIV/0!</v>
      </c>
      <c r="BC37" s="473" t="s">
        <v>116</v>
      </c>
      <c r="BD37" s="383"/>
      <c r="BE37" s="358"/>
      <c r="BF37" s="379"/>
      <c r="BG37" s="474"/>
      <c r="BH37" s="372"/>
      <c r="BI37" s="372"/>
      <c r="BJ37" s="372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372"/>
      <c r="BV37" s="372"/>
      <c r="BW37" s="372"/>
      <c r="BX37" s="372"/>
      <c r="BY37" s="433"/>
      <c r="BZ37" s="358"/>
      <c r="CA37" s="395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410"/>
      <c r="CO37" s="411"/>
      <c r="CP37" s="360" t="e">
        <f>Datenbank!H37</f>
        <v>#VALUE!</v>
      </c>
    </row>
    <row r="38" spans="1:96" ht="12" customHeight="1" x14ac:dyDescent="0.45">
      <c r="A38" s="381"/>
      <c r="B38" s="469"/>
      <c r="C38" s="382"/>
      <c r="D38" s="382"/>
      <c r="E38" s="363"/>
      <c r="F38" s="363"/>
      <c r="G38" s="470"/>
      <c r="H38" s="382"/>
      <c r="I38" s="382"/>
      <c r="J38" s="382"/>
      <c r="K38" s="363"/>
      <c r="L38" s="363"/>
      <c r="M38" s="363"/>
      <c r="N38" s="470"/>
      <c r="O38" s="382"/>
      <c r="P38" s="382"/>
      <c r="Q38" s="382"/>
      <c r="R38" s="382"/>
      <c r="S38" s="383"/>
      <c r="T38" s="358"/>
      <c r="U38" s="381"/>
      <c r="V38" s="382"/>
      <c r="W38" s="382"/>
      <c r="X38" s="382"/>
      <c r="Y38" s="363"/>
      <c r="Z38" s="382"/>
      <c r="AA38" s="454" t="str">
        <f>Text!C126</f>
        <v>Brennstoffauswahl</v>
      </c>
      <c r="AB38" s="382"/>
      <c r="AC38" s="560"/>
      <c r="AD38" s="560"/>
      <c r="AE38" s="560"/>
      <c r="AF38" s="560"/>
      <c r="AG38" s="560"/>
      <c r="AH38" s="560"/>
      <c r="AI38" s="560"/>
      <c r="AJ38" s="560"/>
      <c r="AK38" s="560"/>
      <c r="AL38" s="451"/>
      <c r="AM38" s="412"/>
      <c r="AN38" s="467"/>
      <c r="AO38" s="471"/>
      <c r="AP38" s="384"/>
      <c r="AQ38" s="439" t="str">
        <f>Text!C287</f>
        <v>* Nutzenergie; Wurden Gebäudesanierungen (geplant oder in den letzten 3 Jahren umgesetzt) sowie der Jahresnutzungsgrad der bestehenden Anlage berücksichtigt?</v>
      </c>
      <c r="AS38" s="439"/>
      <c r="AT38" s="439"/>
      <c r="AU38" s="439"/>
      <c r="AV38" s="439"/>
      <c r="AW38" s="439"/>
      <c r="AX38" s="439"/>
      <c r="AY38" s="475"/>
      <c r="AZ38" s="476"/>
      <c r="BA38" s="477"/>
      <c r="BB38" s="476"/>
      <c r="BC38" s="477"/>
      <c r="BD38" s="383"/>
      <c r="BE38" s="358"/>
      <c r="BF38" s="395"/>
      <c r="BG38" s="478"/>
      <c r="BH38" s="438" t="str">
        <f>Text!C231</f>
        <v>Beurteilung Schwachlastbetrieb</v>
      </c>
      <c r="BI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421"/>
      <c r="BZ38" s="358"/>
      <c r="CA38" s="395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410"/>
      <c r="CO38" s="411"/>
      <c r="CP38" s="360" t="str">
        <f>Datenbank!H38</f>
        <v>Nein</v>
      </c>
    </row>
    <row r="39" spans="1:96" ht="12" customHeight="1" x14ac:dyDescent="0.45">
      <c r="A39" s="381"/>
      <c r="B39" s="469"/>
      <c r="C39" s="382"/>
      <c r="D39" s="382"/>
      <c r="E39" s="363"/>
      <c r="F39" s="363"/>
      <c r="G39" s="470"/>
      <c r="H39" s="382"/>
      <c r="I39" s="382"/>
      <c r="J39" s="382"/>
      <c r="K39" s="363"/>
      <c r="L39" s="363"/>
      <c r="M39" s="363"/>
      <c r="N39" s="470"/>
      <c r="O39" s="382"/>
      <c r="P39" s="382"/>
      <c r="Q39" s="382"/>
      <c r="R39" s="382"/>
      <c r="S39" s="383"/>
      <c r="T39" s="358"/>
      <c r="U39" s="381"/>
      <c r="V39" s="479" t="str">
        <f>IF(AC37=Text!C137,Text!C139,"")</f>
        <v/>
      </c>
      <c r="W39" s="480" t="str">
        <f>IF(AC37=Text!C137,Text!C140,"")</f>
        <v/>
      </c>
      <c r="X39" s="382"/>
      <c r="Y39" s="363"/>
      <c r="Z39" s="382"/>
      <c r="AB39" s="454"/>
      <c r="AC39" s="481"/>
      <c r="AD39" s="482"/>
      <c r="AE39" s="454"/>
      <c r="AF39" s="454"/>
      <c r="AG39" s="454"/>
      <c r="AH39" s="454"/>
      <c r="AI39" s="454"/>
      <c r="AJ39" s="454"/>
      <c r="AK39" s="454"/>
      <c r="AL39" s="454"/>
      <c r="AM39" s="454"/>
      <c r="AN39" s="467"/>
      <c r="AO39" s="483"/>
      <c r="AP39" s="484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7"/>
      <c r="BE39" s="358"/>
      <c r="BF39" s="395"/>
      <c r="BG39" s="478"/>
      <c r="BH39" s="382"/>
      <c r="BI39" s="382"/>
      <c r="BJ39" s="363" t="str">
        <f>Text!C232</f>
        <v>Benötigte Leistung im Schwachlastbetrieb</v>
      </c>
      <c r="BK39" s="382"/>
      <c r="BL39" s="347" t="e">
        <f>IF(AC33=Dropdown!A20,BB34/8760,BB34/8760+BB35/AI34)</f>
        <v>#DIV/0!</v>
      </c>
      <c r="BM39" s="382"/>
      <c r="BN39" s="382" t="s">
        <v>112</v>
      </c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421"/>
      <c r="BZ39" s="358"/>
      <c r="CA39" s="395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410"/>
      <c r="CO39" s="411"/>
      <c r="CP39" s="360" t="e">
        <f>Datenbank!H39</f>
        <v>#DIV/0!</v>
      </c>
      <c r="CR39" s="481"/>
    </row>
    <row r="40" spans="1:96" ht="12" customHeight="1" x14ac:dyDescent="0.45">
      <c r="A40" s="381"/>
      <c r="B40" s="548"/>
      <c r="C40" s="382"/>
      <c r="D40" s="556"/>
      <c r="E40" s="557"/>
      <c r="F40" s="363"/>
      <c r="G40" s="470"/>
      <c r="H40" s="382"/>
      <c r="I40" s="382"/>
      <c r="J40" s="382"/>
      <c r="K40" s="363"/>
      <c r="L40" s="363"/>
      <c r="M40" s="363"/>
      <c r="N40" s="470"/>
      <c r="O40" s="382"/>
      <c r="P40" s="382"/>
      <c r="Q40" s="382"/>
      <c r="R40" s="382"/>
      <c r="S40" s="383"/>
      <c r="T40" s="358"/>
      <c r="U40" s="381"/>
      <c r="V40" s="481"/>
      <c r="W40" s="480" t="str">
        <f>IF(AC37=Text!C137,Text!C141,"")</f>
        <v/>
      </c>
      <c r="X40" s="382"/>
      <c r="Y40" s="363"/>
      <c r="Z40" s="382"/>
      <c r="AA40" s="481"/>
      <c r="AB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382"/>
      <c r="AN40" s="467"/>
      <c r="AO40" s="483"/>
      <c r="AP40" s="368" t="str">
        <f>Text!C179</f>
        <v>A09. Berechnete Kennzahlen und Richtwerte</v>
      </c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69"/>
      <c r="BD40" s="369"/>
      <c r="BE40" s="471"/>
      <c r="BF40" s="395"/>
      <c r="BG40" s="478"/>
      <c r="BH40" s="382"/>
      <c r="BI40" s="382"/>
      <c r="BJ40" s="363" t="str">
        <f>Text!C233</f>
        <v>Anteil an der Kesselnennleistung</v>
      </c>
      <c r="BK40" s="382"/>
      <c r="BL40" s="348" t="str">
        <f>IF(BL21="","",BL39/BL21)</f>
        <v/>
      </c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421"/>
      <c r="BZ40" s="358"/>
      <c r="CA40" s="395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421"/>
      <c r="CO40" s="485"/>
      <c r="CP40" s="360">
        <f>Datenbank!H40</f>
        <v>0</v>
      </c>
    </row>
    <row r="41" spans="1:96" s="481" customFormat="1" ht="12" customHeight="1" x14ac:dyDescent="0.45">
      <c r="A41" s="486"/>
      <c r="B41" s="487" t="str">
        <f>Text!C56</f>
        <v>Ort</v>
      </c>
      <c r="C41" s="382"/>
      <c r="D41" s="487" t="str">
        <f>Text!C57</f>
        <v>Datum</v>
      </c>
      <c r="E41" s="487"/>
      <c r="F41" s="363"/>
      <c r="G41" s="470"/>
      <c r="H41" s="382"/>
      <c r="I41" s="382"/>
      <c r="J41" s="382"/>
      <c r="K41" s="363"/>
      <c r="L41" s="363"/>
      <c r="M41" s="363"/>
      <c r="N41" s="470"/>
      <c r="O41" s="382"/>
      <c r="P41" s="382"/>
      <c r="Q41" s="382"/>
      <c r="R41" s="382"/>
      <c r="S41" s="383"/>
      <c r="T41" s="358"/>
      <c r="U41" s="381"/>
      <c r="V41" s="382" t="str">
        <f>IF(AC38=Dropdown!A56,Text!C127,"")</f>
        <v/>
      </c>
      <c r="W41" s="382"/>
      <c r="X41" s="382"/>
      <c r="Y41" s="363"/>
      <c r="Z41" s="382"/>
      <c r="AA41" s="357"/>
      <c r="AB41" s="454"/>
      <c r="AC41" s="357"/>
      <c r="AD41" s="454"/>
      <c r="AE41" s="454"/>
      <c r="AF41" s="454"/>
      <c r="AG41" s="454"/>
      <c r="AH41" s="454"/>
      <c r="AI41" s="454"/>
      <c r="AJ41" s="454"/>
      <c r="AK41" s="454"/>
      <c r="AL41" s="454"/>
      <c r="AM41" s="382"/>
      <c r="AN41" s="467"/>
      <c r="AO41" s="483"/>
      <c r="AP41" s="375"/>
      <c r="AQ41" s="372"/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4"/>
      <c r="BE41" s="483"/>
      <c r="BF41" s="395"/>
      <c r="BG41" s="478"/>
      <c r="BH41" s="382"/>
      <c r="BI41" s="382"/>
      <c r="BJ41" s="363" t="str">
        <f>Text!C234</f>
        <v>Minimalwert</v>
      </c>
      <c r="BK41" s="382"/>
      <c r="BL41" s="324" t="str">
        <f>IF(AC38=Dropdown!A55,"8.0%","10%")</f>
        <v>10%</v>
      </c>
      <c r="BM41" s="382"/>
      <c r="BN41" s="488" t="str">
        <f>Text!C236</f>
        <v>(8% bei Pellets, 10% bei Holzhhackschnitzeln)</v>
      </c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421"/>
      <c r="BZ41" s="358"/>
      <c r="CA41" s="395"/>
      <c r="CB41" s="382"/>
      <c r="CC41" s="382"/>
      <c r="CD41" s="382"/>
      <c r="CE41" s="382"/>
      <c r="CF41" s="382"/>
      <c r="CG41" s="382"/>
      <c r="CH41" s="382"/>
      <c r="CI41" s="382"/>
      <c r="CJ41" s="487"/>
      <c r="CK41" s="487"/>
      <c r="CL41" s="487"/>
      <c r="CM41" s="382"/>
      <c r="CN41" s="421"/>
      <c r="CO41" s="485"/>
      <c r="CP41" s="360" t="str">
        <f>Datenbank!H41</f>
        <v>Ja</v>
      </c>
      <c r="CQ41" s="361"/>
      <c r="CR41" s="362"/>
    </row>
    <row r="42" spans="1:96" ht="12" customHeight="1" x14ac:dyDescent="0.45">
      <c r="A42" s="381"/>
      <c r="B42" s="469"/>
      <c r="C42" s="382"/>
      <c r="D42" s="382"/>
      <c r="E42" s="363"/>
      <c r="F42" s="363"/>
      <c r="G42" s="470"/>
      <c r="H42" s="382"/>
      <c r="I42" s="382"/>
      <c r="J42" s="382"/>
      <c r="K42" s="363"/>
      <c r="L42" s="363"/>
      <c r="M42" s="363"/>
      <c r="N42" s="470"/>
      <c r="O42" s="382"/>
      <c r="P42" s="382"/>
      <c r="Q42" s="382"/>
      <c r="R42" s="382"/>
      <c r="S42" s="383"/>
      <c r="T42" s="358"/>
      <c r="U42" s="424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89"/>
      <c r="AO42" s="483"/>
      <c r="AP42" s="384"/>
      <c r="AQ42" s="490" t="str">
        <f>Text!C147</f>
        <v>Kunde</v>
      </c>
      <c r="AR42" s="491" t="str">
        <f>Text!C180</f>
        <v>Berechnete Kennzahlen</v>
      </c>
      <c r="AS42" s="492"/>
      <c r="AT42" s="493"/>
      <c r="AU42" s="494" t="str">
        <f>Text!C181</f>
        <v>Richtwerte gemäss Tabelle</v>
      </c>
      <c r="AV42" s="495"/>
      <c r="AW42" s="496"/>
      <c r="AX42" s="497"/>
      <c r="AY42" s="492"/>
      <c r="AZ42" s="492"/>
      <c r="BA42" s="492"/>
      <c r="BB42" s="492"/>
      <c r="BC42" s="493"/>
      <c r="BD42" s="383"/>
      <c r="BE42" s="358"/>
      <c r="BF42" s="395"/>
      <c r="BG42" s="478"/>
      <c r="BH42" s="382"/>
      <c r="BI42" s="382"/>
      <c r="BJ42" s="363" t="str">
        <f>Text!C235</f>
        <v>Sommerbetrieb Holzkessel zulässig?</v>
      </c>
      <c r="BK42" s="382"/>
      <c r="BL42" s="498" t="e">
        <f>IF(AC34=Dropdown!A20,"",IF(BL40-BL41&lt;0,Dropdown!A20,Dropdown!A19))</f>
        <v>#VALUE!</v>
      </c>
      <c r="BM42" s="382"/>
      <c r="BN42" s="382"/>
      <c r="BO42" s="363" t="e">
        <f>IF(AC34=Dropdown!A20,"",IF(BL42=Dropdown!A20,Text!C203,""))</f>
        <v>#VALUE!</v>
      </c>
      <c r="BP42" s="555"/>
      <c r="BQ42" s="555"/>
      <c r="BR42" s="555"/>
      <c r="BS42" s="555"/>
      <c r="BT42" s="555"/>
      <c r="BU42" s="555"/>
      <c r="BV42" s="555"/>
      <c r="BW42" s="555"/>
      <c r="BX42" s="555"/>
      <c r="BY42" s="421"/>
      <c r="BZ42" s="358"/>
      <c r="CA42" s="395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448" t="str">
        <f>Text!C292</f>
        <v>Vereinfachtes Prinzipschema</v>
      </c>
      <c r="CM42" s="382"/>
      <c r="CN42" s="421"/>
      <c r="CO42" s="485"/>
      <c r="CP42" s="360">
        <f>Datenbank!H42</f>
        <v>0</v>
      </c>
    </row>
    <row r="43" spans="1:96" ht="12" customHeight="1" x14ac:dyDescent="0.25">
      <c r="A43" s="381"/>
      <c r="B43" s="382"/>
      <c r="C43" s="382"/>
      <c r="D43" s="382"/>
      <c r="E43" s="363"/>
      <c r="F43" s="363"/>
      <c r="G43" s="470"/>
      <c r="H43" s="499"/>
      <c r="I43" s="382"/>
      <c r="J43" s="382"/>
      <c r="K43" s="363"/>
      <c r="L43" s="363"/>
      <c r="M43" s="363"/>
      <c r="N43" s="470"/>
      <c r="O43" s="499"/>
      <c r="P43" s="382"/>
      <c r="Q43" s="382"/>
      <c r="R43" s="382"/>
      <c r="S43" s="383"/>
      <c r="T43" s="358"/>
      <c r="AO43" s="358"/>
      <c r="AP43" s="384"/>
      <c r="AQ43" s="500" t="str">
        <f>Text!C148</f>
        <v>Nr.</v>
      </c>
      <c r="AR43" s="501" t="str">
        <f>Text!C182</f>
        <v>Vollbetriebs-</v>
      </c>
      <c r="AS43" s="501" t="s">
        <v>132</v>
      </c>
      <c r="AT43" s="501" t="s">
        <v>133</v>
      </c>
      <c r="AU43" s="502" t="str">
        <f>Text!C182</f>
        <v>Vollbetriebs-</v>
      </c>
      <c r="AV43" s="502" t="s">
        <v>269</v>
      </c>
      <c r="AW43" s="502" t="s">
        <v>270</v>
      </c>
      <c r="AX43" s="500" t="str">
        <f>Text!C185</f>
        <v>Kontrolle</v>
      </c>
      <c r="AY43" s="503" t="str">
        <f>Text!C186</f>
        <v>Begründung:</v>
      </c>
      <c r="AZ43" s="504"/>
      <c r="BA43" s="505"/>
      <c r="BB43" s="505"/>
      <c r="BC43" s="506"/>
      <c r="BD43" s="383"/>
      <c r="BE43" s="358"/>
      <c r="BF43" s="395"/>
      <c r="BG43" s="478"/>
      <c r="BH43" s="382"/>
      <c r="BI43" s="382"/>
      <c r="BJ43" s="363"/>
      <c r="BK43" s="382"/>
      <c r="BL43" s="446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421"/>
      <c r="BZ43" s="358"/>
      <c r="CA43" s="395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421"/>
      <c r="CO43" s="485"/>
      <c r="CP43" s="360">
        <f>Datenbank!H43</f>
        <v>0</v>
      </c>
      <c r="CR43" s="507"/>
    </row>
    <row r="44" spans="1:96" ht="12" customHeight="1" x14ac:dyDescent="0.45">
      <c r="A44" s="508" t="str">
        <f>Text!C59</f>
        <v>A04. Beurteilung und Empfehlung der Prüfstelle QMmini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509"/>
      <c r="T44" s="358"/>
      <c r="V44" s="382"/>
      <c r="AO44" s="358"/>
      <c r="AP44" s="384"/>
      <c r="AQ44" s="420"/>
      <c r="AR44" s="510" t="str">
        <f>Text!C183</f>
        <v>stundenzahl</v>
      </c>
      <c r="AS44" s="510"/>
      <c r="AT44" s="510"/>
      <c r="AU44" s="511" t="str">
        <f>Text!C183</f>
        <v>stundenzahl</v>
      </c>
      <c r="AV44" s="511"/>
      <c r="AW44" s="511"/>
      <c r="AX44" s="512"/>
      <c r="AY44" s="513"/>
      <c r="AZ44" s="513"/>
      <c r="BA44" s="513"/>
      <c r="BB44" s="513"/>
      <c r="BC44" s="514"/>
      <c r="BD44" s="383"/>
      <c r="BE44" s="358"/>
      <c r="BF44" s="395"/>
      <c r="BG44" s="478"/>
      <c r="BH44" s="438" t="str">
        <f>Text!C237</f>
        <v>Auslegung Kesselkreis und Speicher</v>
      </c>
      <c r="BI44" s="382"/>
      <c r="BK44" s="382"/>
      <c r="BL44" s="446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421"/>
      <c r="BZ44" s="358"/>
      <c r="CA44" s="395"/>
      <c r="CB44" s="515"/>
      <c r="CC44" s="516"/>
      <c r="CD44" s="517"/>
      <c r="CE44" s="518"/>
      <c r="CF44" s="519" t="str">
        <f>Text!C262</f>
        <v>Bezeichnung</v>
      </c>
      <c r="CG44" s="520" t="str">
        <f>Text!C263</f>
        <v>Einheit</v>
      </c>
      <c r="CH44" s="521" t="str">
        <f>Text!C264</f>
        <v>Kessel 1</v>
      </c>
      <c r="CI44" s="521" t="str">
        <f>Text!C265</f>
        <v>Kessel 2*</v>
      </c>
      <c r="CJ44" s="521" t="str">
        <f>Text!C266</f>
        <v>Allgemein</v>
      </c>
      <c r="CK44" s="382"/>
      <c r="CL44" s="382"/>
      <c r="CM44" s="382"/>
      <c r="CN44" s="421"/>
      <c r="CO44" s="485"/>
      <c r="CP44" s="360">
        <f>Datenbank!H44</f>
        <v>0</v>
      </c>
      <c r="CR44" s="507"/>
    </row>
    <row r="45" spans="1:96" ht="12" customHeight="1" x14ac:dyDescent="0.45">
      <c r="A45" s="381"/>
      <c r="B45" s="412" t="str">
        <f>Text!C60</f>
        <v>Anmerkungen:</v>
      </c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3"/>
      <c r="T45" s="358"/>
      <c r="AO45" s="358"/>
      <c r="AP45" s="384"/>
      <c r="AQ45" s="423">
        <v>1</v>
      </c>
      <c r="AR45" s="335" t="str">
        <f>IF(OR(ISBLANK(AZ13),ISBLANK(BB13)),"",BB13/AZ13)</f>
        <v/>
      </c>
      <c r="AS45" s="335" t="str">
        <f>IF(AV13=Dropdown!$A$68,"",IF(OR(ISBLANK(BA13),ISBLANK(BB13)),"",BB13/BA13))</f>
        <v/>
      </c>
      <c r="AT45" s="335" t="str">
        <f>IF(AV13=Dropdown!$A$68,"",IF(OR(ISBLANK(BA13),ISBLANK(AZ13)),"",AZ13*1000/BA13))</f>
        <v/>
      </c>
      <c r="AU45" s="522" t="str">
        <f>IF(ISERROR(Berechnungen!AI20)=TRUE,"",Berechnungen!AI20)</f>
        <v/>
      </c>
      <c r="AV45" s="522" t="str">
        <f>IF(ISERROR(Berechnungen!AJ20)=TRUE,"",Berechnungen!AJ20)</f>
        <v/>
      </c>
      <c r="AW45" s="522" t="str">
        <f>IF(ISERROR(Berechnungen!AK20)=TRUE,"",Berechnungen!AK20)</f>
        <v/>
      </c>
      <c r="AX45" s="423" t="str">
        <f>IF(ISERROR(Berechnungen!AU20)=TRUE,"",Berechnungen!AU20)</f>
        <v/>
      </c>
      <c r="AY45" s="572"/>
      <c r="AZ45" s="573"/>
      <c r="BA45" s="573"/>
      <c r="BB45" s="573"/>
      <c r="BC45" s="574"/>
      <c r="BD45" s="383"/>
      <c r="BE45" s="358"/>
      <c r="BF45" s="395"/>
      <c r="BG45" s="478"/>
      <c r="BH45" s="382"/>
      <c r="BI45" s="382"/>
      <c r="BJ45" s="363" t="str">
        <f>Text!C238</f>
        <v>Vorlauf-Temperatur</v>
      </c>
      <c r="BK45" s="382"/>
      <c r="BL45" s="349"/>
      <c r="BM45" s="382"/>
      <c r="BN45" s="382" t="s">
        <v>175</v>
      </c>
      <c r="BQ45" s="382"/>
      <c r="BR45" s="363" t="str">
        <f>Text!C239</f>
        <v>max. Rücklauf-Temperatur</v>
      </c>
      <c r="BS45" s="382"/>
      <c r="BT45" s="350"/>
      <c r="BU45" s="382"/>
      <c r="BV45" s="382" t="s">
        <v>175</v>
      </c>
      <c r="BW45" s="382"/>
      <c r="BX45" s="382"/>
      <c r="BY45" s="421"/>
      <c r="BZ45" s="358"/>
      <c r="CA45" s="395"/>
      <c r="CB45" s="382"/>
      <c r="CC45" s="523"/>
      <c r="CD45" s="430"/>
      <c r="CE45" s="430"/>
      <c r="CF45" s="524" t="str">
        <f>Text!C267</f>
        <v>Nennleistung</v>
      </c>
      <c r="CG45" s="525" t="s">
        <v>112</v>
      </c>
      <c r="CH45" s="327">
        <f>BL21</f>
        <v>0</v>
      </c>
      <c r="CI45" s="327">
        <f>IF(AC36=Dropdown!A40,"",BL22)</f>
        <v>0</v>
      </c>
      <c r="CJ45" s="526"/>
      <c r="CK45" s="382"/>
      <c r="CL45" s="382"/>
      <c r="CM45" s="382"/>
      <c r="CN45" s="421"/>
      <c r="CO45" s="485"/>
      <c r="CP45" s="360">
        <f>Datenbank!H45</f>
        <v>0</v>
      </c>
    </row>
    <row r="46" spans="1:96" s="507" customFormat="1" ht="12" customHeight="1" x14ac:dyDescent="0.45">
      <c r="A46" s="527"/>
      <c r="B46" s="579"/>
      <c r="C46" s="580"/>
      <c r="D46" s="580"/>
      <c r="E46" s="580"/>
      <c r="F46" s="580"/>
      <c r="G46" s="580"/>
      <c r="H46" s="580"/>
      <c r="I46" s="580"/>
      <c r="J46" s="580"/>
      <c r="K46" s="580"/>
      <c r="L46" s="580"/>
      <c r="M46" s="580"/>
      <c r="N46" s="580"/>
      <c r="O46" s="580"/>
      <c r="P46" s="580"/>
      <c r="Q46" s="580"/>
      <c r="R46" s="581"/>
      <c r="S46" s="528"/>
      <c r="T46" s="483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8"/>
      <c r="AP46" s="384"/>
      <c r="AQ46" s="423">
        <v>2</v>
      </c>
      <c r="AR46" s="335" t="str">
        <f t="shared" ref="AR46:AR64" si="0">IF(OR(ISBLANK(AZ14),ISBLANK(BB14)),"",BB14/AZ14)</f>
        <v/>
      </c>
      <c r="AS46" s="335" t="str">
        <f>IF(AV14=Dropdown!$A$68,"",IF(OR(ISBLANK(BA14),ISBLANK(BB14)),"",BB14/BA14))</f>
        <v/>
      </c>
      <c r="AT46" s="335" t="str">
        <f>IF(AV14=Dropdown!$A$68,"",IF(OR(ISBLANK(BA14),ISBLANK(AZ14)),"",AZ14*1000/BA14))</f>
        <v/>
      </c>
      <c r="AU46" s="522" t="str">
        <f>IF(ISERROR(Berechnungen!AI21)=TRUE,"",Berechnungen!AI21)</f>
        <v/>
      </c>
      <c r="AV46" s="522" t="str">
        <f>IF(ISERROR(Berechnungen!AJ21)=TRUE,"",Berechnungen!AJ21)</f>
        <v/>
      </c>
      <c r="AW46" s="522" t="str">
        <f>IF(ISERROR(Berechnungen!AK21)=TRUE,"",Berechnungen!AK21)</f>
        <v/>
      </c>
      <c r="AX46" s="423" t="str">
        <f>IF(ISERROR(Berechnungen!AU21)=TRUE,"",Berechnungen!AU21)</f>
        <v/>
      </c>
      <c r="AY46" s="572"/>
      <c r="AZ46" s="573"/>
      <c r="BA46" s="573"/>
      <c r="BB46" s="573"/>
      <c r="BC46" s="574"/>
      <c r="BD46" s="383"/>
      <c r="BE46" s="529"/>
      <c r="BF46" s="395"/>
      <c r="BG46" s="478"/>
      <c r="BH46" s="382"/>
      <c r="BI46" s="382"/>
      <c r="BJ46" s="363" t="str">
        <f>Text!C240</f>
        <v>Minimales Speichervolumen nach QMH</v>
      </c>
      <c r="BK46" s="382"/>
      <c r="BL46" s="351" t="e">
        <f>ROUND(IF(OR(ISBLANK(BL45)=TRUE,ISBLANK(BT45)=TRUE),"",IF(AC36=Dropdown!A40,0.86*BL23/(BL45-BT45),0.86*BL23*2/3/(BL45-BT45))),1)</f>
        <v>#VALUE!</v>
      </c>
      <c r="BM46" s="382"/>
      <c r="BN46" s="382" t="s">
        <v>179</v>
      </c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421"/>
      <c r="BZ46" s="358"/>
      <c r="CA46" s="395"/>
      <c r="CB46" s="382"/>
      <c r="CC46" s="523"/>
      <c r="CD46" s="430"/>
      <c r="CE46" s="430"/>
      <c r="CF46" s="524" t="str">
        <f>Text!C268</f>
        <v>Minimalleistung</v>
      </c>
      <c r="CG46" s="525" t="s">
        <v>112</v>
      </c>
      <c r="CH46" s="327">
        <f>BV21</f>
        <v>0</v>
      </c>
      <c r="CI46" s="352">
        <f>IF(AC36=Dropdown!A40,"",CI45*0.3)</f>
        <v>0</v>
      </c>
      <c r="CJ46" s="526"/>
      <c r="CK46" s="382"/>
      <c r="CL46" s="382"/>
      <c r="CM46" s="382"/>
      <c r="CN46" s="421"/>
      <c r="CO46" s="485"/>
      <c r="CP46" s="360">
        <f>Datenbank!H46</f>
        <v>0</v>
      </c>
      <c r="CQ46" s="361"/>
      <c r="CR46" s="362"/>
    </row>
    <row r="47" spans="1:96" ht="12" customHeight="1" x14ac:dyDescent="0.45">
      <c r="A47" s="381"/>
      <c r="B47" s="582"/>
      <c r="C47" s="583"/>
      <c r="D47" s="583"/>
      <c r="E47" s="583"/>
      <c r="F47" s="583"/>
      <c r="G47" s="583"/>
      <c r="H47" s="583"/>
      <c r="I47" s="583"/>
      <c r="J47" s="583"/>
      <c r="K47" s="583"/>
      <c r="L47" s="583"/>
      <c r="M47" s="583"/>
      <c r="N47" s="583"/>
      <c r="O47" s="583"/>
      <c r="P47" s="583"/>
      <c r="Q47" s="583"/>
      <c r="R47" s="584"/>
      <c r="S47" s="383"/>
      <c r="T47" s="358"/>
      <c r="AO47" s="529"/>
      <c r="AP47" s="384"/>
      <c r="AQ47" s="423">
        <v>3</v>
      </c>
      <c r="AR47" s="335" t="str">
        <f t="shared" si="0"/>
        <v/>
      </c>
      <c r="AS47" s="335" t="str">
        <f>IF(AV15=Dropdown!$A$68,"",IF(OR(ISBLANK(BA15),ISBLANK(BB15)),"",BB15/BA15))</f>
        <v/>
      </c>
      <c r="AT47" s="335" t="str">
        <f>IF(AV15=Dropdown!$A$68,"",IF(OR(ISBLANK(BA15),ISBLANK(AZ15)),"",AZ15*1000/BA15))</f>
        <v/>
      </c>
      <c r="AU47" s="522" t="str">
        <f>IF(ISERROR(Berechnungen!AI22)=TRUE,"",Berechnungen!AI22)</f>
        <v/>
      </c>
      <c r="AV47" s="522" t="str">
        <f>IF(ISERROR(Berechnungen!AJ22)=TRUE,"",Berechnungen!AJ22)</f>
        <v/>
      </c>
      <c r="AW47" s="522" t="str">
        <f>IF(ISERROR(Berechnungen!AK22)=TRUE,"",Berechnungen!AK22)</f>
        <v/>
      </c>
      <c r="AX47" s="423" t="str">
        <f>IF(ISERROR(Berechnungen!AU22)=TRUE,"",Berechnungen!AU22)</f>
        <v/>
      </c>
      <c r="AY47" s="572"/>
      <c r="AZ47" s="573"/>
      <c r="BA47" s="573"/>
      <c r="BB47" s="573"/>
      <c r="BC47" s="574"/>
      <c r="BD47" s="383"/>
      <c r="BE47" s="358"/>
      <c r="BF47" s="395"/>
      <c r="BG47" s="478"/>
      <c r="BH47" s="382"/>
      <c r="BI47" s="382"/>
      <c r="BJ47" s="363" t="str">
        <f>Text!C241</f>
        <v>Minimales Speichervolumen nach LRV</v>
      </c>
      <c r="BK47" s="382"/>
      <c r="BL47" s="351" t="e">
        <f>ROUND(IF(BL46="","",BL23*25/1000),1)</f>
        <v>#VALUE!</v>
      </c>
      <c r="BM47" s="382"/>
      <c r="BN47" s="382" t="s">
        <v>179</v>
      </c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421"/>
      <c r="BZ47" s="358"/>
      <c r="CA47" s="395"/>
      <c r="CB47" s="382"/>
      <c r="CC47" s="523"/>
      <c r="CD47" s="430"/>
      <c r="CE47" s="430"/>
      <c r="CF47" s="524" t="str">
        <f>Text!C269</f>
        <v>Volumenstrom Kessel</v>
      </c>
      <c r="CG47" s="525" t="s">
        <v>291</v>
      </c>
      <c r="CH47" s="353">
        <f>CH45/(1.14*(CH48-CH49))</f>
        <v>0</v>
      </c>
      <c r="CI47" s="353">
        <f>IF(AC36=Dropdown!A40,"",CI45/(1.14*(CI48-CI49)))</f>
        <v>0</v>
      </c>
      <c r="CJ47" s="526"/>
      <c r="CK47" s="382"/>
      <c r="CL47" s="382"/>
      <c r="CM47" s="382"/>
      <c r="CN47" s="421"/>
      <c r="CO47" s="485"/>
      <c r="CP47" s="360">
        <f>Datenbank!H47</f>
        <v>0</v>
      </c>
    </row>
    <row r="48" spans="1:96" ht="12" customHeight="1" x14ac:dyDescent="0.45">
      <c r="A48" s="381"/>
      <c r="B48" s="582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583"/>
      <c r="O48" s="583"/>
      <c r="P48" s="583"/>
      <c r="Q48" s="583"/>
      <c r="R48" s="584"/>
      <c r="S48" s="383"/>
      <c r="T48" s="358"/>
      <c r="AO48" s="358"/>
      <c r="AP48" s="384"/>
      <c r="AQ48" s="423">
        <v>4</v>
      </c>
      <c r="AR48" s="335" t="str">
        <f t="shared" si="0"/>
        <v/>
      </c>
      <c r="AS48" s="335" t="str">
        <f>IF(AV16=Dropdown!$A$68,"",IF(OR(ISBLANK(BA16),ISBLANK(BB16)),"",BB16/BA16))</f>
        <v/>
      </c>
      <c r="AT48" s="335" t="str">
        <f>IF(AV16=Dropdown!$A$68,"",IF(OR(ISBLANK(BA16),ISBLANK(AZ16)),"",AZ16*1000/BA16))</f>
        <v/>
      </c>
      <c r="AU48" s="522" t="str">
        <f>IF(ISERROR(Berechnungen!AI23)=TRUE,"",Berechnungen!AI23)</f>
        <v/>
      </c>
      <c r="AV48" s="522" t="str">
        <f>IF(ISERROR(Berechnungen!AJ23)=TRUE,"",Berechnungen!AJ23)</f>
        <v/>
      </c>
      <c r="AW48" s="522" t="str">
        <f>IF(ISERROR(Berechnungen!AK23)=TRUE,"",Berechnungen!AK23)</f>
        <v/>
      </c>
      <c r="AX48" s="423" t="str">
        <f>IF(ISERROR(Berechnungen!AU23)=TRUE,"",Berechnungen!AU23)</f>
        <v/>
      </c>
      <c r="AY48" s="572"/>
      <c r="AZ48" s="573"/>
      <c r="BA48" s="573"/>
      <c r="BB48" s="573"/>
      <c r="BC48" s="574"/>
      <c r="BD48" s="383"/>
      <c r="BE48" s="358"/>
      <c r="BF48" s="395"/>
      <c r="BG48" s="478"/>
      <c r="BH48" s="382"/>
      <c r="BI48" s="382"/>
      <c r="BJ48" s="363" t="str">
        <f>Text!C242</f>
        <v>Geplantes Speichervolumen</v>
      </c>
      <c r="BK48" s="382"/>
      <c r="BL48" s="354"/>
      <c r="BM48" s="382"/>
      <c r="BN48" s="382" t="s">
        <v>179</v>
      </c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421"/>
      <c r="BZ48" s="358"/>
      <c r="CA48" s="395"/>
      <c r="CB48" s="382"/>
      <c r="CC48" s="523"/>
      <c r="CD48" s="430"/>
      <c r="CE48" s="430"/>
      <c r="CF48" s="524" t="str">
        <f>Text!C270</f>
        <v>Kesselaustrittstemperatur  (T1.2; T2.2)</v>
      </c>
      <c r="CG48" s="525" t="s">
        <v>175</v>
      </c>
      <c r="CH48" s="352">
        <f>BL45</f>
        <v>0</v>
      </c>
      <c r="CI48" s="352">
        <f>IF(AC36=Dropdown!A40,"",BL45)</f>
        <v>0</v>
      </c>
      <c r="CJ48" s="526"/>
      <c r="CK48" s="382"/>
      <c r="CL48" s="382"/>
      <c r="CM48" s="382"/>
      <c r="CN48" s="421"/>
      <c r="CO48" s="485"/>
      <c r="CP48" s="360">
        <f>Datenbank!H48</f>
        <v>0</v>
      </c>
    </row>
    <row r="49" spans="1:96" ht="12" customHeight="1" x14ac:dyDescent="0.45">
      <c r="A49" s="381"/>
      <c r="B49" s="585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7"/>
      <c r="S49" s="383"/>
      <c r="T49" s="358"/>
      <c r="AO49" s="358"/>
      <c r="AP49" s="384"/>
      <c r="AQ49" s="423">
        <v>5</v>
      </c>
      <c r="AR49" s="335" t="str">
        <f t="shared" si="0"/>
        <v/>
      </c>
      <c r="AS49" s="335" t="str">
        <f>IF(AV17=Dropdown!$A$68,"",IF(OR(ISBLANK(BA17),ISBLANK(BB17)),"",BB17/BA17))</f>
        <v/>
      </c>
      <c r="AT49" s="335" t="str">
        <f>IF(AV17=Dropdown!$A$68,"",IF(OR(ISBLANK(BA17),ISBLANK(AZ17)),"",AZ17*1000/BA17))</f>
        <v/>
      </c>
      <c r="AU49" s="522" t="str">
        <f>IF(ISERROR(Berechnungen!AI24)=TRUE,"",Berechnungen!AI24)</f>
        <v/>
      </c>
      <c r="AV49" s="522" t="str">
        <f>IF(ISERROR(Berechnungen!AJ24)=TRUE,"",Berechnungen!AJ24)</f>
        <v/>
      </c>
      <c r="AW49" s="522" t="str">
        <f>IF(ISERROR(Berechnungen!AK24)=TRUE,"",Berechnungen!AK24)</f>
        <v/>
      </c>
      <c r="AX49" s="423" t="str">
        <f>IF(ISERROR(Berechnungen!AU24)=TRUE,"",Berechnungen!AU24)</f>
        <v/>
      </c>
      <c r="AY49" s="572"/>
      <c r="AZ49" s="573"/>
      <c r="BA49" s="573"/>
      <c r="BB49" s="573"/>
      <c r="BC49" s="574"/>
      <c r="BD49" s="383"/>
      <c r="BE49" s="358"/>
      <c r="BF49" s="395"/>
      <c r="BG49" s="478"/>
      <c r="BH49" s="382"/>
      <c r="BI49" s="382"/>
      <c r="BJ49" s="363" t="str">
        <f>Text!C243</f>
        <v>Bedingung Speichervolumen nach QMH erfüllt?</v>
      </c>
      <c r="BK49" s="382"/>
      <c r="BL49" s="498" t="str">
        <f>IF(OR(ISBLANK(BL45)=TRUE,ISBLANK(BT45)=TRUE),Dropdown!A20,IF(BL48-BL46&lt;0,Dropdown!A20,Dropdown!A19))</f>
        <v>Nein</v>
      </c>
      <c r="BM49" s="382"/>
      <c r="BN49" s="382"/>
      <c r="BO49" s="363" t="str">
        <f>IF(OR(ISBLANK(BL45)=TRUE,ISBLANK(BT45)=TRUE),Text!C280,IF(BL49=Dropdown!A20,Text!C203,""))</f>
        <v>Angaben fehlen</v>
      </c>
      <c r="BP49" s="555"/>
      <c r="BQ49" s="555"/>
      <c r="BR49" s="555"/>
      <c r="BS49" s="555"/>
      <c r="BT49" s="555"/>
      <c r="BU49" s="555"/>
      <c r="BV49" s="555"/>
      <c r="BW49" s="555"/>
      <c r="BX49" s="555"/>
      <c r="BY49" s="421"/>
      <c r="BZ49" s="358"/>
      <c r="CA49" s="395"/>
      <c r="CB49" s="382"/>
      <c r="CC49" s="523"/>
      <c r="CD49" s="430"/>
      <c r="CE49" s="430"/>
      <c r="CF49" s="524" t="str">
        <f>Text!C271</f>
        <v>Kesseleintrittstemperatur (T1.1; T2.1)</v>
      </c>
      <c r="CG49" s="525" t="s">
        <v>175</v>
      </c>
      <c r="CH49" s="352">
        <f>CH48-15</f>
        <v>-15</v>
      </c>
      <c r="CI49" s="352">
        <f>IF(AC36=Dropdown!A40,"",CI48-15)</f>
        <v>-15</v>
      </c>
      <c r="CJ49" s="526"/>
      <c r="CK49" s="382"/>
      <c r="CL49" s="382"/>
      <c r="CM49" s="382"/>
      <c r="CN49" s="421"/>
      <c r="CO49" s="485"/>
      <c r="CP49" s="360">
        <f>Datenbank!H49</f>
        <v>0</v>
      </c>
    </row>
    <row r="50" spans="1:96" ht="12" customHeight="1" x14ac:dyDescent="0.45">
      <c r="A50" s="381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451"/>
      <c r="Q50" s="451"/>
      <c r="R50" s="382"/>
      <c r="S50" s="383"/>
      <c r="T50" s="358"/>
      <c r="AO50" s="358"/>
      <c r="AP50" s="384"/>
      <c r="AQ50" s="423">
        <v>6</v>
      </c>
      <c r="AR50" s="335" t="str">
        <f t="shared" si="0"/>
        <v/>
      </c>
      <c r="AS50" s="335" t="str">
        <f>IF(AV18=Dropdown!$A$68,"",IF(OR(ISBLANK(BA18),ISBLANK(BB18)),"",BB18/BA18))</f>
        <v/>
      </c>
      <c r="AT50" s="335" t="str">
        <f>IF(AV18=Dropdown!$A$68,"",IF(OR(ISBLANK(BA18),ISBLANK(AZ18)),"",AZ18*1000/BA18))</f>
        <v/>
      </c>
      <c r="AU50" s="522" t="str">
        <f>IF(ISERROR(Berechnungen!AI25)=TRUE,"",Berechnungen!AI25)</f>
        <v/>
      </c>
      <c r="AV50" s="522" t="str">
        <f>IF(ISERROR(Berechnungen!AJ25)=TRUE,"",Berechnungen!AJ25)</f>
        <v/>
      </c>
      <c r="AW50" s="522" t="str">
        <f>IF(ISERROR(Berechnungen!AK25)=TRUE,"",Berechnungen!AK25)</f>
        <v/>
      </c>
      <c r="AX50" s="423" t="str">
        <f>IF(ISERROR(Berechnungen!AU25)=TRUE,"",Berechnungen!AU25)</f>
        <v/>
      </c>
      <c r="AY50" s="572"/>
      <c r="AZ50" s="573"/>
      <c r="BA50" s="573"/>
      <c r="BB50" s="573"/>
      <c r="BC50" s="574"/>
      <c r="BD50" s="383"/>
      <c r="BE50" s="358"/>
      <c r="BF50" s="395"/>
      <c r="BG50" s="478"/>
      <c r="BH50" s="382"/>
      <c r="BI50" s="479" t="e">
        <f>IF(BL48&lt;BL47,Text!C244,"")</f>
        <v>#VALUE!</v>
      </c>
      <c r="BJ50" s="363"/>
      <c r="BK50" s="382"/>
      <c r="BM50" s="382"/>
      <c r="BN50" s="382"/>
      <c r="BO50" s="363"/>
      <c r="BP50" s="363"/>
      <c r="BQ50" s="363"/>
      <c r="BR50" s="363"/>
      <c r="BS50" s="363"/>
      <c r="BT50" s="363"/>
      <c r="BU50" s="363"/>
      <c r="BV50" s="363"/>
      <c r="BW50" s="363"/>
      <c r="BX50" s="363"/>
      <c r="BY50" s="421"/>
      <c r="BZ50" s="358"/>
      <c r="CA50" s="395"/>
      <c r="CB50" s="382"/>
      <c r="CC50" s="523"/>
      <c r="CD50" s="430"/>
      <c r="CE50" s="430"/>
      <c r="CF50" s="524" t="str">
        <f>Text!C272</f>
        <v>Vorlauftemperatur</v>
      </c>
      <c r="CG50" s="525" t="s">
        <v>175</v>
      </c>
      <c r="CH50" s="526"/>
      <c r="CI50" s="526"/>
      <c r="CJ50" s="352">
        <f>BL45</f>
        <v>0</v>
      </c>
      <c r="CK50" s="382"/>
      <c r="CL50" s="382"/>
      <c r="CM50" s="382"/>
      <c r="CN50" s="421"/>
      <c r="CO50" s="485"/>
      <c r="CP50" s="360">
        <f>Datenbank!H50</f>
        <v>0</v>
      </c>
    </row>
    <row r="51" spans="1:96" ht="12" customHeight="1" x14ac:dyDescent="0.45">
      <c r="A51" s="381"/>
      <c r="B51" s="363" t="str">
        <f>Text!C61</f>
        <v xml:space="preserve">Projekt Nummer: </v>
      </c>
      <c r="C51" s="578"/>
      <c r="D51" s="578"/>
      <c r="E51" s="363" t="str">
        <f>Text!C62</f>
        <v>Name</v>
      </c>
      <c r="F51" s="382"/>
      <c r="G51" s="561" t="s">
        <v>1454</v>
      </c>
      <c r="H51" s="561"/>
      <c r="I51" s="561"/>
      <c r="J51" s="561"/>
      <c r="K51" s="561"/>
      <c r="L51" s="561"/>
      <c r="M51" s="561"/>
      <c r="N51" s="561"/>
      <c r="O51" s="561"/>
      <c r="P51" s="562"/>
      <c r="Q51" s="562"/>
      <c r="R51" s="382"/>
      <c r="S51" s="383"/>
      <c r="T51" s="529"/>
      <c r="AO51" s="358"/>
      <c r="AP51" s="384"/>
      <c r="AQ51" s="423">
        <v>7</v>
      </c>
      <c r="AR51" s="335" t="str">
        <f t="shared" si="0"/>
        <v/>
      </c>
      <c r="AS51" s="335" t="str">
        <f>IF(AV19=Dropdown!$A$68,"",IF(OR(ISBLANK(BA19),ISBLANK(BB19)),"",BB19/BA19))</f>
        <v/>
      </c>
      <c r="AT51" s="335" t="str">
        <f>IF(AV19=Dropdown!$A$68,"",IF(OR(ISBLANK(BA19),ISBLANK(AZ19)),"",AZ19*1000/BA19))</f>
        <v/>
      </c>
      <c r="AU51" s="522" t="str">
        <f>IF(ISERROR(Berechnungen!AI26)=TRUE,"",Berechnungen!AI26)</f>
        <v/>
      </c>
      <c r="AV51" s="522" t="str">
        <f>IF(ISERROR(Berechnungen!AJ26)=TRUE,"",Berechnungen!AJ26)</f>
        <v/>
      </c>
      <c r="AW51" s="522" t="str">
        <f>IF(ISERROR(Berechnungen!AK26)=TRUE,"",Berechnungen!AK26)</f>
        <v/>
      </c>
      <c r="AX51" s="423" t="str">
        <f>IF(ISERROR(Berechnungen!AU26)=TRUE,"",Berechnungen!AU26)</f>
        <v/>
      </c>
      <c r="AY51" s="572"/>
      <c r="AZ51" s="573"/>
      <c r="BA51" s="573"/>
      <c r="BB51" s="573"/>
      <c r="BC51" s="574"/>
      <c r="BD51" s="383"/>
      <c r="BE51" s="358"/>
      <c r="BF51" s="395"/>
      <c r="BG51" s="478"/>
      <c r="BH51" s="382"/>
      <c r="BI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421"/>
      <c r="BZ51" s="358"/>
      <c r="CA51" s="395"/>
      <c r="CB51" s="382"/>
      <c r="CC51" s="523"/>
      <c r="CD51" s="430"/>
      <c r="CE51" s="430"/>
      <c r="CF51" s="524" t="str">
        <f>Text!C273</f>
        <v>Rücklauftemperatur</v>
      </c>
      <c r="CG51" s="525" t="s">
        <v>175</v>
      </c>
      <c r="CH51" s="526"/>
      <c r="CI51" s="526"/>
      <c r="CJ51" s="352">
        <f>BT45</f>
        <v>0</v>
      </c>
      <c r="CK51" s="442" t="str">
        <f>IF(CJ50-CJ51&gt;=30,"**","")</f>
        <v/>
      </c>
      <c r="CL51" s="382"/>
      <c r="CM51" s="382"/>
      <c r="CN51" s="421"/>
      <c r="CO51" s="485"/>
      <c r="CP51" s="360">
        <f>Datenbank!H51</f>
        <v>0</v>
      </c>
    </row>
    <row r="52" spans="1:96" ht="12" customHeight="1" x14ac:dyDescent="0.45">
      <c r="A52" s="381"/>
      <c r="B52" s="382"/>
      <c r="C52" s="382"/>
      <c r="D52" s="382"/>
      <c r="E52" s="363" t="str">
        <f>Text!C9</f>
        <v>Strasse</v>
      </c>
      <c r="F52" s="382"/>
      <c r="G52" s="382" t="str">
        <f>IF(G51=Dropdown!A23,Dropdown!B23,IF(G51=Dropdown!A24,Dropdown!B24,IF(G51=Dropdown!A26,Dropdown!B26,IF(G51=Dropdown!A25,Dropdown!B25,NA()))))</f>
        <v>Langmauerstrasse 109</v>
      </c>
      <c r="H52" s="413"/>
      <c r="I52" s="413"/>
      <c r="J52" s="382"/>
      <c r="K52" s="382"/>
      <c r="L52" s="363" t="str">
        <f>Text!C12</f>
        <v>PLZ, Ort</v>
      </c>
      <c r="M52" s="382"/>
      <c r="N52" s="382" t="str">
        <f>IF(G51=Dropdown!A23,Dropdown!C23,IF(G51=Dropdown!A24,Dropdown!C24,IF(G51=Dropdown!A26,Dropdown!C26,IF(G51=Dropdown!A25,Dropdown!C25,NA()))))</f>
        <v>8006 Zürich</v>
      </c>
      <c r="O52" s="413"/>
      <c r="P52" s="382"/>
      <c r="Q52" s="382"/>
      <c r="R52" s="382"/>
      <c r="S52" s="383"/>
      <c r="T52" s="358"/>
      <c r="AO52" s="358"/>
      <c r="AP52" s="384"/>
      <c r="AQ52" s="423">
        <v>8</v>
      </c>
      <c r="AR52" s="335" t="str">
        <f t="shared" si="0"/>
        <v/>
      </c>
      <c r="AS52" s="335" t="str">
        <f>IF(AV20=Dropdown!$A$68,"",IF(OR(ISBLANK(BA20),ISBLANK(BB20)),"",BB20/BA20))</f>
        <v/>
      </c>
      <c r="AT52" s="335" t="str">
        <f>IF(AV20=Dropdown!$A$68,"",IF(OR(ISBLANK(BA20),ISBLANK(AZ20)),"",AZ20*1000/BA20))</f>
        <v/>
      </c>
      <c r="AU52" s="522" t="str">
        <f>IF(ISERROR(Berechnungen!AI27)=TRUE,"",Berechnungen!AI27)</f>
        <v/>
      </c>
      <c r="AV52" s="522" t="str">
        <f>IF(ISERROR(Berechnungen!AJ27)=TRUE,"",Berechnungen!AJ27)</f>
        <v/>
      </c>
      <c r="AW52" s="522" t="str">
        <f>IF(ISERROR(Berechnungen!AK27)=TRUE,"",Berechnungen!AK27)</f>
        <v/>
      </c>
      <c r="AX52" s="423" t="str">
        <f>IF(ISERROR(Berechnungen!AU27)=TRUE,"",Berechnungen!AU27)</f>
        <v/>
      </c>
      <c r="AY52" s="572"/>
      <c r="AZ52" s="573"/>
      <c r="BA52" s="573"/>
      <c r="BB52" s="573"/>
      <c r="BC52" s="574"/>
      <c r="BD52" s="383"/>
      <c r="BE52" s="358"/>
      <c r="BF52" s="395"/>
      <c r="BG52" s="478"/>
      <c r="BH52" s="438" t="str">
        <f>Text!C246</f>
        <v>Berechnung Brennstofflager</v>
      </c>
      <c r="BI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421"/>
      <c r="BZ52" s="358"/>
      <c r="CA52" s="395"/>
      <c r="CB52" s="382"/>
      <c r="CC52" s="523"/>
      <c r="CD52" s="430"/>
      <c r="CE52" s="430"/>
      <c r="CF52" s="524" t="str">
        <f>Text!C274</f>
        <v>Volumenstrom Total</v>
      </c>
      <c r="CG52" s="525" t="s">
        <v>291</v>
      </c>
      <c r="CH52" s="526"/>
      <c r="CI52" s="526"/>
      <c r="CJ52" s="353" t="e">
        <f>BL23/(1.14*(CJ50-CJ51))</f>
        <v>#DIV/0!</v>
      </c>
      <c r="CK52" s="382"/>
      <c r="CL52" s="382"/>
      <c r="CM52" s="382"/>
      <c r="CN52" s="421"/>
      <c r="CO52" s="485"/>
      <c r="CP52" s="360">
        <f>Datenbank!H52</f>
        <v>0</v>
      </c>
    </row>
    <row r="53" spans="1:96" ht="12" customHeight="1" x14ac:dyDescent="0.45">
      <c r="A53" s="381"/>
      <c r="B53" s="382"/>
      <c r="C53" s="382"/>
      <c r="D53" s="382"/>
      <c r="E53" s="363" t="str">
        <f>Text!C10</f>
        <v>Telefon</v>
      </c>
      <c r="F53" s="382"/>
      <c r="G53" s="382" t="str">
        <f>IF(G51=Dropdown!A23,Dropdown!D23,IF(G51=Dropdown!A24,Dropdown!D24,IF(G51=Dropdown!A26,Dropdown!D26,IF(G51=Dropdown!A25,Dropdown!D25,NA()))))</f>
        <v>044 377 70 74</v>
      </c>
      <c r="H53" s="413"/>
      <c r="I53" s="413"/>
      <c r="J53" s="382"/>
      <c r="K53" s="413"/>
      <c r="L53" s="382"/>
      <c r="M53" s="382"/>
      <c r="N53" s="413"/>
      <c r="O53" s="413"/>
      <c r="P53" s="382"/>
      <c r="Q53" s="382"/>
      <c r="R53" s="382"/>
      <c r="S53" s="383"/>
      <c r="T53" s="358"/>
      <c r="AO53" s="358"/>
      <c r="AP53" s="384"/>
      <c r="AQ53" s="423">
        <v>9</v>
      </c>
      <c r="AR53" s="335" t="str">
        <f t="shared" si="0"/>
        <v/>
      </c>
      <c r="AS53" s="335" t="str">
        <f>IF(AV21=Dropdown!$A$68,"",IF(OR(ISBLANK(BA21),ISBLANK(BB21)),"",BB21/BA21))</f>
        <v/>
      </c>
      <c r="AT53" s="335" t="str">
        <f>IF(AV21=Dropdown!$A$68,"",IF(OR(ISBLANK(BA21),ISBLANK(AZ21)),"",AZ21*1000/BA21))</f>
        <v/>
      </c>
      <c r="AU53" s="522" t="str">
        <f>IF(ISERROR(Berechnungen!AI28)=TRUE,"",Berechnungen!AI28)</f>
        <v/>
      </c>
      <c r="AV53" s="522" t="str">
        <f>IF(ISERROR(Berechnungen!AJ28)=TRUE,"",Berechnungen!AJ28)</f>
        <v/>
      </c>
      <c r="AW53" s="522" t="str">
        <f>IF(ISERROR(Berechnungen!AK28)=TRUE,"",Berechnungen!AK28)</f>
        <v/>
      </c>
      <c r="AX53" s="423" t="str">
        <f>IF(ISERROR(Berechnungen!AU28)=TRUE,"",Berechnungen!AU28)</f>
        <v/>
      </c>
      <c r="AY53" s="572"/>
      <c r="AZ53" s="573"/>
      <c r="BA53" s="573"/>
      <c r="BB53" s="573"/>
      <c r="BC53" s="574"/>
      <c r="BD53" s="383"/>
      <c r="BE53" s="358"/>
      <c r="BF53" s="395"/>
      <c r="BG53" s="478"/>
      <c r="BH53" s="382"/>
      <c r="BI53" s="382"/>
      <c r="BJ53" s="363" t="str">
        <f>Text!C247</f>
        <v>Inhalt netto</v>
      </c>
      <c r="BK53" s="382"/>
      <c r="BL53" s="350"/>
      <c r="BM53" s="382"/>
      <c r="BN53" s="382" t="s">
        <v>179</v>
      </c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421"/>
      <c r="BZ53" s="358"/>
      <c r="CA53" s="395"/>
      <c r="CB53" s="382"/>
      <c r="CC53" s="523"/>
      <c r="CD53" s="430"/>
      <c r="CE53" s="430"/>
      <c r="CF53" s="524" t="str">
        <f>Text!C275</f>
        <v>Geplantes Speichervolumen</v>
      </c>
      <c r="CG53" s="525" t="s">
        <v>179</v>
      </c>
      <c r="CH53" s="526"/>
      <c r="CI53" s="526"/>
      <c r="CJ53" s="328">
        <f>BL48</f>
        <v>0</v>
      </c>
      <c r="CK53" s="382"/>
      <c r="CL53" s="382"/>
      <c r="CM53" s="382"/>
      <c r="CN53" s="421"/>
      <c r="CO53" s="485"/>
      <c r="CP53" s="360">
        <f>Datenbank!H53</f>
        <v>0</v>
      </c>
    </row>
    <row r="54" spans="1:96" ht="12" customHeight="1" x14ac:dyDescent="0.45">
      <c r="A54" s="381"/>
      <c r="B54" s="382"/>
      <c r="C54" s="382"/>
      <c r="D54" s="382"/>
      <c r="E54" s="363" t="str">
        <f>Text!C11</f>
        <v>E-Mail</v>
      </c>
      <c r="F54" s="382"/>
      <c r="G54" s="549" t="str">
        <f>IF(G51=Dropdown!A23,Dropdown!E23,IF(G51=Dropdown!A24,Dropdown!E24,IF(G51=Dropdown!A26,Dropdown!E26,IF(G51=Dropdown!A25,Dropdown!E25,NA()))))</f>
        <v>qmmini@verenum.ch</v>
      </c>
      <c r="H54" s="413"/>
      <c r="I54" s="413"/>
      <c r="J54" s="382"/>
      <c r="K54" s="382"/>
      <c r="L54" s="382"/>
      <c r="M54" s="382"/>
      <c r="N54" s="382"/>
      <c r="O54" s="382"/>
      <c r="P54" s="382"/>
      <c r="Q54" s="382"/>
      <c r="R54" s="382"/>
      <c r="S54" s="383"/>
      <c r="T54" s="358"/>
      <c r="AO54" s="358"/>
      <c r="AP54" s="384"/>
      <c r="AQ54" s="423">
        <v>10</v>
      </c>
      <c r="AR54" s="335" t="str">
        <f t="shared" si="0"/>
        <v/>
      </c>
      <c r="AS54" s="335" t="str">
        <f>IF(AV22=Dropdown!$A$68,"",IF(OR(ISBLANK(BA22),ISBLANK(BB22)),"",BB22/BA22))</f>
        <v/>
      </c>
      <c r="AT54" s="335" t="str">
        <f>IF(AV22=Dropdown!$A$68,"",IF(OR(ISBLANK(BA22),ISBLANK(AZ22)),"",AZ22*1000/BA22))</f>
        <v/>
      </c>
      <c r="AU54" s="522" t="str">
        <f>IF(ISERROR(Berechnungen!AI29)=TRUE,"",Berechnungen!AI29)</f>
        <v/>
      </c>
      <c r="AV54" s="522" t="str">
        <f>IF(ISERROR(Berechnungen!AJ29)=TRUE,"",Berechnungen!AJ29)</f>
        <v/>
      </c>
      <c r="AW54" s="522" t="str">
        <f>IF(ISERROR(Berechnungen!AK29)=TRUE,"",Berechnungen!AK29)</f>
        <v/>
      </c>
      <c r="AX54" s="423" t="str">
        <f>IF(ISERROR(Berechnungen!AU29)=TRUE,"",Berechnungen!AU29)</f>
        <v/>
      </c>
      <c r="AY54" s="572"/>
      <c r="AZ54" s="573"/>
      <c r="BA54" s="573"/>
      <c r="BB54" s="573"/>
      <c r="BC54" s="574"/>
      <c r="BD54" s="383"/>
      <c r="BE54" s="358"/>
      <c r="BF54" s="395"/>
      <c r="BG54" s="478"/>
      <c r="BH54" s="382"/>
      <c r="BI54" s="382"/>
      <c r="BJ54" s="363" t="str">
        <f>Text!C248</f>
        <v>Energieinhalt</v>
      </c>
      <c r="BK54" s="382"/>
      <c r="BL54" s="323">
        <f>IF(AC38=Dropdown!A55,3120,IF(AC38=Dropdown!A56,800,850))</f>
        <v>850</v>
      </c>
      <c r="BM54" s="382"/>
      <c r="BN54" s="382" t="str">
        <f>Text!C258</f>
        <v>kWh pro Schüttraummeter</v>
      </c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421"/>
      <c r="BZ54" s="358"/>
      <c r="CA54" s="395"/>
      <c r="CB54" s="382"/>
      <c r="CC54" s="439" t="str">
        <f>Text!C278</f>
        <v>* Bei mehr als 2 Kesseln wird die Summe berechnet (Leistung, Volumenstrom etc.)</v>
      </c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421"/>
      <c r="CO54" s="485"/>
      <c r="CP54" s="360">
        <f>Datenbank!H54</f>
        <v>0</v>
      </c>
    </row>
    <row r="55" spans="1:96" ht="12" customHeight="1" x14ac:dyDescent="0.45">
      <c r="A55" s="381"/>
      <c r="B55" s="409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382"/>
      <c r="S55" s="383"/>
      <c r="T55" s="358"/>
      <c r="AO55" s="358"/>
      <c r="AP55" s="384"/>
      <c r="AQ55" s="423">
        <v>11</v>
      </c>
      <c r="AR55" s="335" t="str">
        <f t="shared" si="0"/>
        <v/>
      </c>
      <c r="AS55" s="335" t="str">
        <f>IF(AV23=Dropdown!$A$68,"",IF(OR(ISBLANK(BA23),ISBLANK(BB23)),"",BB23/BA23))</f>
        <v/>
      </c>
      <c r="AT55" s="335" t="str">
        <f>IF(AV23=Dropdown!$A$68,"",IF(OR(ISBLANK(BA23),ISBLANK(AZ23)),"",AZ23*1000/BA23))</f>
        <v/>
      </c>
      <c r="AU55" s="522" t="str">
        <f>IF(ISERROR(Berechnungen!AI30)=TRUE,"",Berechnungen!AI30)</f>
        <v/>
      </c>
      <c r="AV55" s="522" t="str">
        <f>IF(ISERROR(Berechnungen!AJ30)=TRUE,"",Berechnungen!AJ30)</f>
        <v/>
      </c>
      <c r="AW55" s="522" t="str">
        <f>IF(ISERROR(Berechnungen!AK30)=TRUE,"",Berechnungen!AK30)</f>
        <v/>
      </c>
      <c r="AX55" s="423" t="str">
        <f>IF(ISERROR(Berechnungen!AU30)=TRUE,"",Berechnungen!AU30)</f>
        <v/>
      </c>
      <c r="AY55" s="572"/>
      <c r="AZ55" s="573"/>
      <c r="BA55" s="573"/>
      <c r="BB55" s="573"/>
      <c r="BC55" s="574"/>
      <c r="BD55" s="383"/>
      <c r="BE55" s="358"/>
      <c r="BF55" s="381"/>
      <c r="BG55" s="382"/>
      <c r="BH55" s="382"/>
      <c r="BI55" s="382"/>
      <c r="BJ55" s="363" t="str">
        <f>Text!C249</f>
        <v>Abdeckung Vollastbedarf</v>
      </c>
      <c r="BK55" s="382"/>
      <c r="BL55" s="355" t="e">
        <f>ROUND(BL53*BL54*0.85/BL23/24,1)</f>
        <v>#DIV/0!</v>
      </c>
      <c r="BM55" s="382"/>
      <c r="BN55" s="382" t="str">
        <f>Text!C257</f>
        <v>Tage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421"/>
      <c r="BZ55" s="358"/>
      <c r="CA55" s="395"/>
      <c r="CB55" s="382"/>
      <c r="CC55" s="530" t="str">
        <f>IF((CJ50-CJ51)-(CJ50-CH49)&gt;10,Text!C276,"")</f>
        <v/>
      </c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421"/>
      <c r="CO55" s="485"/>
      <c r="CP55" s="360">
        <f>Datenbank!H55</f>
        <v>0</v>
      </c>
    </row>
    <row r="56" spans="1:96" ht="12" customHeight="1" x14ac:dyDescent="0.45">
      <c r="A56" s="381"/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382"/>
      <c r="S56" s="383"/>
      <c r="T56" s="358"/>
      <c r="AO56" s="358"/>
      <c r="AP56" s="384"/>
      <c r="AQ56" s="423">
        <v>12</v>
      </c>
      <c r="AR56" s="335" t="str">
        <f t="shared" si="0"/>
        <v/>
      </c>
      <c r="AS56" s="335" t="str">
        <f>IF(AV24=Dropdown!$A$68,"",IF(OR(ISBLANK(BA24),ISBLANK(BB24)),"",BB24/BA24))</f>
        <v/>
      </c>
      <c r="AT56" s="335" t="str">
        <f>IF(AV24=Dropdown!$A$68,"",IF(OR(ISBLANK(BA24),ISBLANK(AZ24)),"",AZ24*1000/BA24))</f>
        <v/>
      </c>
      <c r="AU56" s="522" t="str">
        <f>IF(ISERROR(Berechnungen!AI31)=TRUE,"",Berechnungen!AI31)</f>
        <v/>
      </c>
      <c r="AV56" s="522" t="str">
        <f>IF(ISERROR(Berechnungen!AJ31)=TRUE,"",Berechnungen!AJ31)</f>
        <v/>
      </c>
      <c r="AW56" s="522" t="str">
        <f>IF(ISERROR(Berechnungen!AK31)=TRUE,"",Berechnungen!AK31)</f>
        <v/>
      </c>
      <c r="AX56" s="423" t="str">
        <f>IF(ISERROR(Berechnungen!AU31)=TRUE,"",Berechnungen!AU31)</f>
        <v/>
      </c>
      <c r="AY56" s="572"/>
      <c r="AZ56" s="573"/>
      <c r="BA56" s="573"/>
      <c r="BB56" s="573"/>
      <c r="BC56" s="574"/>
      <c r="BD56" s="383"/>
      <c r="BE56" s="358"/>
      <c r="BF56" s="381"/>
      <c r="BG56" s="382"/>
      <c r="BH56" s="382"/>
      <c r="BI56" s="382"/>
      <c r="BJ56" s="363" t="str">
        <f>Text!C250</f>
        <v>Empfohlene Lagergrösse für Holzhackschnitzel</v>
      </c>
      <c r="BK56" s="382"/>
      <c r="BL56" s="356" t="str">
        <f>"6 - 8"</f>
        <v>6 - 8</v>
      </c>
      <c r="BM56" s="382"/>
      <c r="BN56" s="382" t="str">
        <f>Text!C257</f>
        <v>Tage</v>
      </c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421"/>
      <c r="BZ56" s="358"/>
      <c r="CA56" s="395"/>
      <c r="CB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421"/>
      <c r="CO56" s="485"/>
      <c r="CP56" s="360">
        <f>Datenbank!H56</f>
        <v>0</v>
      </c>
    </row>
    <row r="57" spans="1:96" s="481" customFormat="1" ht="12" customHeight="1" x14ac:dyDescent="0.45">
      <c r="A57" s="381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382"/>
      <c r="S57" s="383"/>
      <c r="T57" s="358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7"/>
      <c r="AG57" s="357"/>
      <c r="AH57" s="357"/>
      <c r="AI57" s="357"/>
      <c r="AJ57" s="357"/>
      <c r="AK57" s="357"/>
      <c r="AL57" s="357"/>
      <c r="AM57" s="357"/>
      <c r="AN57" s="357"/>
      <c r="AO57" s="358"/>
      <c r="AP57" s="384"/>
      <c r="AQ57" s="423">
        <v>13</v>
      </c>
      <c r="AR57" s="335" t="str">
        <f t="shared" si="0"/>
        <v/>
      </c>
      <c r="AS57" s="335" t="str">
        <f>IF(AV25=Dropdown!$A$68,"",IF(OR(ISBLANK(BA25),ISBLANK(BB25)),"",BB25/BA25))</f>
        <v/>
      </c>
      <c r="AT57" s="335" t="str">
        <f>IF(AV25=Dropdown!$A$68,"",IF(OR(ISBLANK(BA25),ISBLANK(AZ25)),"",AZ25*1000/BA25))</f>
        <v/>
      </c>
      <c r="AU57" s="522" t="str">
        <f>IF(ISERROR(Berechnungen!AI32)=TRUE,"",Berechnungen!AI32)</f>
        <v/>
      </c>
      <c r="AV57" s="522" t="str">
        <f>IF(ISERROR(Berechnungen!AJ32)=TRUE,"",Berechnungen!AJ32)</f>
        <v/>
      </c>
      <c r="AW57" s="522" t="str">
        <f>IF(ISERROR(Berechnungen!AK32)=TRUE,"",Berechnungen!AK32)</f>
        <v/>
      </c>
      <c r="AX57" s="423" t="str">
        <f>IF(ISERROR(Berechnungen!AU32)=TRUE,"",Berechnungen!AU32)</f>
        <v/>
      </c>
      <c r="AY57" s="572"/>
      <c r="AZ57" s="573"/>
      <c r="BA57" s="573"/>
      <c r="BB57" s="573"/>
      <c r="BC57" s="574"/>
      <c r="BD57" s="383"/>
      <c r="BE57" s="358"/>
      <c r="BF57" s="381"/>
      <c r="BG57" s="382"/>
      <c r="BH57" s="382"/>
      <c r="BI57" s="382"/>
      <c r="BJ57" s="363" t="str">
        <f>Text!C251</f>
        <v>Empfehlung Brennstofflager erfüllt</v>
      </c>
      <c r="BK57" s="382"/>
      <c r="BL57" s="382" t="e">
        <f>IF(BL55&lt;6,Dropdown!A81,IF(AND(BL55&gt;=6,BL55&lt;8,OR(AC38=Dropdown!A56,AC38=Dropdown!A57)),Dropdown!A84,IF(AND(BL55&gt;=8,BL53*BL54*0.85&lt;BB37,OR(AC38=Dropdown!A56,AC38=Dropdown!A57)),Dropdown!A83,IF(AND(BL55&gt;=6,BL53*BL54*0.85&lt;BB37,AC38=Dropdown!A55),Dropdown!A85,Dropdown!A82))))</f>
        <v>#DIV/0!</v>
      </c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412"/>
      <c r="BX57" s="382"/>
      <c r="BY57" s="421"/>
      <c r="BZ57" s="358"/>
      <c r="CA57" s="531"/>
      <c r="CB57" s="425"/>
      <c r="CC57" s="425"/>
      <c r="CD57" s="425"/>
      <c r="CE57" s="425"/>
      <c r="CF57" s="425"/>
      <c r="CG57" s="425"/>
      <c r="CH57" s="425"/>
      <c r="CI57" s="425"/>
      <c r="CJ57" s="425"/>
      <c r="CK57" s="425"/>
      <c r="CL57" s="425"/>
      <c r="CM57" s="425"/>
      <c r="CN57" s="427"/>
      <c r="CO57" s="380"/>
      <c r="CP57" s="360">
        <f>Datenbank!H57</f>
        <v>0</v>
      </c>
      <c r="CQ57" s="361"/>
      <c r="CR57" s="362"/>
    </row>
    <row r="58" spans="1:96" ht="12" customHeight="1" x14ac:dyDescent="0.45">
      <c r="A58" s="381"/>
      <c r="B58" s="548"/>
      <c r="C58" s="382"/>
      <c r="D58" s="556"/>
      <c r="E58" s="557"/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382"/>
      <c r="S58" s="383"/>
      <c r="T58" s="358"/>
      <c r="AO58" s="483"/>
      <c r="AP58" s="384"/>
      <c r="AQ58" s="423">
        <v>14</v>
      </c>
      <c r="AR58" s="335" t="str">
        <f t="shared" si="0"/>
        <v/>
      </c>
      <c r="AS58" s="335" t="str">
        <f>IF(AV26=Dropdown!$A$68,"",IF(OR(ISBLANK(BA26),ISBLANK(BB26)),"",BB26/BA26))</f>
        <v/>
      </c>
      <c r="AT58" s="335" t="str">
        <f>IF(AV26=Dropdown!$A$68,"",IF(OR(ISBLANK(BA26),ISBLANK(AZ26)),"",AZ26*1000/BA26))</f>
        <v/>
      </c>
      <c r="AU58" s="522" t="str">
        <f>IF(ISERROR(Berechnungen!AI33)=TRUE,"",Berechnungen!AI33)</f>
        <v/>
      </c>
      <c r="AV58" s="522" t="str">
        <f>IF(ISERROR(Berechnungen!AJ33)=TRUE,"",Berechnungen!AJ33)</f>
        <v/>
      </c>
      <c r="AW58" s="522" t="str">
        <f>IF(ISERROR(Berechnungen!AK33)=TRUE,"",Berechnungen!AK33)</f>
        <v/>
      </c>
      <c r="AX58" s="423" t="str">
        <f>IF(ISERROR(Berechnungen!AU33)=TRUE,"",Berechnungen!AU33)</f>
        <v/>
      </c>
      <c r="AY58" s="572"/>
      <c r="AZ58" s="573"/>
      <c r="BA58" s="573"/>
      <c r="BB58" s="573"/>
      <c r="BC58" s="574"/>
      <c r="BD58" s="383"/>
      <c r="BE58" s="483"/>
      <c r="BF58" s="381"/>
      <c r="BG58" s="382"/>
      <c r="BH58" s="382"/>
      <c r="BI58" s="480" t="str">
        <f>IF(AND(AC38=Dropdown!A55,Projektformular!BL53&gt;=50),Text!C259,"")</f>
        <v/>
      </c>
      <c r="BJ58" s="382"/>
      <c r="BK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3"/>
      <c r="BZ58" s="358"/>
      <c r="CA58" s="478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0"/>
      <c r="CP58" s="360">
        <f>Datenbank!H58</f>
        <v>0</v>
      </c>
    </row>
    <row r="59" spans="1:96" ht="12" customHeight="1" x14ac:dyDescent="0.45">
      <c r="A59" s="381"/>
      <c r="B59" s="487" t="str">
        <f>Text!C56</f>
        <v>Ort</v>
      </c>
      <c r="C59" s="382"/>
      <c r="D59" s="487" t="str">
        <f>Text!C57</f>
        <v>Datum</v>
      </c>
      <c r="E59" s="487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382"/>
      <c r="S59" s="383"/>
      <c r="T59" s="358"/>
      <c r="AO59" s="358"/>
      <c r="AP59" s="384"/>
      <c r="AQ59" s="423">
        <v>15</v>
      </c>
      <c r="AR59" s="335" t="str">
        <f t="shared" si="0"/>
        <v/>
      </c>
      <c r="AS59" s="335" t="str">
        <f>IF(AV27=Dropdown!$A$68,"",IF(OR(ISBLANK(BA27),ISBLANK(BB27)),"",BB27/BA27))</f>
        <v/>
      </c>
      <c r="AT59" s="335" t="str">
        <f>IF(AV27=Dropdown!$A$68,"",IF(OR(ISBLANK(BA27),ISBLANK(AZ27)),"",AZ27*1000/BA27))</f>
        <v/>
      </c>
      <c r="AU59" s="522" t="str">
        <f>IF(ISERROR(Berechnungen!AI34)=TRUE,"",Berechnungen!AI34)</f>
        <v/>
      </c>
      <c r="AV59" s="522" t="str">
        <f>IF(ISERROR(Berechnungen!AJ34)=TRUE,"",Berechnungen!AJ34)</f>
        <v/>
      </c>
      <c r="AW59" s="522" t="str">
        <f>IF(ISERROR(Berechnungen!AK34)=TRUE,"",Berechnungen!AK34)</f>
        <v/>
      </c>
      <c r="AX59" s="423" t="str">
        <f>IF(ISERROR(Berechnungen!AU34)=TRUE,"",Berechnungen!AU34)</f>
        <v/>
      </c>
      <c r="AY59" s="572"/>
      <c r="AZ59" s="573"/>
      <c r="BA59" s="573"/>
      <c r="BB59" s="573"/>
      <c r="BC59" s="574"/>
      <c r="BD59" s="383"/>
      <c r="BE59" s="358"/>
      <c r="BF59" s="532"/>
      <c r="BG59" s="369"/>
      <c r="BH59" s="369"/>
      <c r="BI59" s="369"/>
      <c r="BJ59" s="369"/>
      <c r="BK59" s="369"/>
      <c r="BL59" s="369"/>
      <c r="BM59" s="369"/>
      <c r="BN59" s="369"/>
      <c r="BO59" s="369"/>
      <c r="BP59" s="369"/>
      <c r="BQ59" s="369"/>
      <c r="BR59" s="369"/>
      <c r="BS59" s="369"/>
      <c r="BT59" s="369"/>
      <c r="BU59" s="369"/>
      <c r="BV59" s="369"/>
      <c r="BW59" s="369"/>
      <c r="BX59" s="369"/>
      <c r="BY59" s="489"/>
      <c r="BZ59" s="358"/>
      <c r="CA59" s="478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0"/>
      <c r="CP59" s="360">
        <f>Datenbank!H59</f>
        <v>0</v>
      </c>
    </row>
    <row r="60" spans="1:96" ht="12" customHeight="1" x14ac:dyDescent="0.45">
      <c r="A60" s="381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382"/>
      <c r="S60" s="383"/>
      <c r="T60" s="358"/>
      <c r="AO60" s="358"/>
      <c r="AP60" s="384"/>
      <c r="AQ60" s="423">
        <v>16</v>
      </c>
      <c r="AR60" s="335" t="str">
        <f t="shared" si="0"/>
        <v/>
      </c>
      <c r="AS60" s="335" t="str">
        <f>IF(AV28=Dropdown!$A$68,"",IF(OR(ISBLANK(BA28),ISBLANK(BB28)),"",BB28/BA28))</f>
        <v/>
      </c>
      <c r="AT60" s="335" t="str">
        <f>IF(AV28=Dropdown!$A$68,"",IF(OR(ISBLANK(BA28),ISBLANK(AZ28)),"",AZ28*1000/BA28))</f>
        <v/>
      </c>
      <c r="AU60" s="522" t="str">
        <f>IF(ISERROR(Berechnungen!AI35)=TRUE,"",Berechnungen!AI35)</f>
        <v/>
      </c>
      <c r="AV60" s="522" t="str">
        <f>IF(ISERROR(Berechnungen!AJ35)=TRUE,"",Berechnungen!AJ35)</f>
        <v/>
      </c>
      <c r="AW60" s="522" t="str">
        <f>IF(ISERROR(Berechnungen!AK35)=TRUE,"",Berechnungen!AK35)</f>
        <v/>
      </c>
      <c r="AX60" s="423" t="str">
        <f>IF(ISERROR(Berechnungen!AU35)=TRUE,"",Berechnungen!AU35)</f>
        <v/>
      </c>
      <c r="AY60" s="572"/>
      <c r="AZ60" s="573"/>
      <c r="BA60" s="573"/>
      <c r="BB60" s="573"/>
      <c r="BC60" s="574"/>
      <c r="BD60" s="383"/>
      <c r="BE60" s="358"/>
      <c r="BZ60" s="358"/>
      <c r="CA60" s="478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0"/>
      <c r="CP60" s="360">
        <f>Datenbank!H60</f>
        <v>0</v>
      </c>
    </row>
    <row r="61" spans="1:96" ht="12" customHeight="1" x14ac:dyDescent="0.45">
      <c r="A61" s="424"/>
      <c r="B61" s="369"/>
      <c r="C61" s="369"/>
      <c r="D61" s="369"/>
      <c r="E61" s="369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425"/>
      <c r="S61" s="427"/>
      <c r="T61" s="358"/>
      <c r="AO61" s="358"/>
      <c r="AP61" s="384"/>
      <c r="AQ61" s="423">
        <v>17</v>
      </c>
      <c r="AR61" s="335" t="str">
        <f t="shared" si="0"/>
        <v/>
      </c>
      <c r="AS61" s="335" t="str">
        <f>IF(AV29=Dropdown!$A$68,"",IF(OR(ISBLANK(BA29),ISBLANK(BB29)),"",BB29/BA29))</f>
        <v/>
      </c>
      <c r="AT61" s="335" t="str">
        <f>IF(AV29=Dropdown!$A$68,"",IF(OR(ISBLANK(BA29),ISBLANK(AZ29)),"",AZ29*1000/BA29))</f>
        <v/>
      </c>
      <c r="AU61" s="522" t="str">
        <f>IF(ISERROR(Berechnungen!AI36)=TRUE,"",Berechnungen!AI36)</f>
        <v/>
      </c>
      <c r="AV61" s="522" t="str">
        <f>IF(ISERROR(Berechnungen!AJ36)=TRUE,"",Berechnungen!AJ36)</f>
        <v/>
      </c>
      <c r="AW61" s="522" t="str">
        <f>IF(ISERROR(Berechnungen!AK36)=TRUE,"",Berechnungen!AK36)</f>
        <v/>
      </c>
      <c r="AX61" s="423" t="str">
        <f>IF(ISERROR(Berechnungen!AU36)=TRUE,"",Berechnungen!AU36)</f>
        <v/>
      </c>
      <c r="AY61" s="572"/>
      <c r="AZ61" s="573"/>
      <c r="BA61" s="573"/>
      <c r="BB61" s="573"/>
      <c r="BC61" s="574"/>
      <c r="BD61" s="383"/>
      <c r="BE61" s="358"/>
      <c r="BZ61" s="358"/>
      <c r="CA61" s="478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0"/>
      <c r="CP61" s="360">
        <f>Datenbank!H61</f>
        <v>0</v>
      </c>
    </row>
    <row r="62" spans="1:96" ht="12" customHeight="1" x14ac:dyDescent="0.45">
      <c r="A62" s="382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382"/>
      <c r="S62" s="382"/>
      <c r="T62" s="358"/>
      <c r="AO62" s="358"/>
      <c r="AP62" s="384"/>
      <c r="AQ62" s="423">
        <v>18</v>
      </c>
      <c r="AR62" s="335" t="str">
        <f t="shared" si="0"/>
        <v/>
      </c>
      <c r="AS62" s="335" t="str">
        <f>IF(AV30=Dropdown!$A$68,"",IF(OR(ISBLANK(BA30),ISBLANK(BB30)),"",BB30/BA30))</f>
        <v/>
      </c>
      <c r="AT62" s="335" t="str">
        <f>IF(AV30=Dropdown!$A$68,"",IF(OR(ISBLANK(BA30),ISBLANK(AZ30)),"",AZ30*1000/BA30))</f>
        <v/>
      </c>
      <c r="AU62" s="522" t="str">
        <f>IF(ISERROR(Berechnungen!AI37)=TRUE,"",Berechnungen!AI37)</f>
        <v/>
      </c>
      <c r="AV62" s="522" t="str">
        <f>IF(ISERROR(Berechnungen!AJ37)=TRUE,"",Berechnungen!AJ37)</f>
        <v/>
      </c>
      <c r="AW62" s="522" t="str">
        <f>IF(ISERROR(Berechnungen!AK37)=TRUE,"",Berechnungen!AK37)</f>
        <v/>
      </c>
      <c r="AX62" s="423" t="str">
        <f>IF(ISERROR(Berechnungen!AU37)=TRUE,"",Berechnungen!AU37)</f>
        <v/>
      </c>
      <c r="AY62" s="572"/>
      <c r="AZ62" s="573"/>
      <c r="BA62" s="573"/>
      <c r="BB62" s="573"/>
      <c r="BC62" s="574"/>
      <c r="BD62" s="383"/>
      <c r="BE62" s="358"/>
      <c r="BH62" s="382"/>
      <c r="BZ62" s="358"/>
      <c r="CA62" s="478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0"/>
      <c r="CP62" s="360">
        <f>Datenbank!H62</f>
        <v>0</v>
      </c>
    </row>
    <row r="63" spans="1:96" ht="12" customHeight="1" x14ac:dyDescent="0.45">
      <c r="A63" s="382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382"/>
      <c r="S63" s="382"/>
      <c r="T63" s="358"/>
      <c r="AO63" s="358"/>
      <c r="AP63" s="384"/>
      <c r="AQ63" s="423">
        <v>19</v>
      </c>
      <c r="AR63" s="335" t="str">
        <f t="shared" si="0"/>
        <v/>
      </c>
      <c r="AS63" s="335" t="str">
        <f>IF(AV31=Dropdown!$A$68,"",IF(OR(ISBLANK(BA31),ISBLANK(BB31)),"",BB31/BA31))</f>
        <v/>
      </c>
      <c r="AT63" s="335" t="str">
        <f>IF(AV31=Dropdown!$A$68,"",IF(OR(ISBLANK(BA31),ISBLANK(AZ31)),"",AZ31*1000/BA31))</f>
        <v/>
      </c>
      <c r="AU63" s="522" t="str">
        <f>IF(ISERROR(Berechnungen!AI38)=TRUE,"",Berechnungen!AI38)</f>
        <v/>
      </c>
      <c r="AV63" s="522" t="str">
        <f>IF(ISERROR(Berechnungen!AJ38)=TRUE,"",Berechnungen!AJ38)</f>
        <v/>
      </c>
      <c r="AW63" s="522" t="str">
        <f>IF(ISERROR(Berechnungen!AK38)=TRUE,"",Berechnungen!AK38)</f>
        <v/>
      </c>
      <c r="AX63" s="423" t="str">
        <f>IF(ISERROR(Berechnungen!AU38)=TRUE,"",Berechnungen!AU38)</f>
        <v/>
      </c>
      <c r="AY63" s="572"/>
      <c r="AZ63" s="573"/>
      <c r="BA63" s="573"/>
      <c r="BB63" s="573"/>
      <c r="BC63" s="574"/>
      <c r="BD63" s="383"/>
      <c r="BE63" s="358"/>
      <c r="BH63" s="382"/>
      <c r="BZ63" s="358"/>
      <c r="CA63" s="478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0"/>
      <c r="CP63" s="360">
        <f>Datenbank!H63</f>
        <v>0</v>
      </c>
    </row>
    <row r="64" spans="1:96" ht="12" customHeight="1" x14ac:dyDescent="0.45">
      <c r="A64" s="382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382"/>
      <c r="S64" s="382"/>
      <c r="T64" s="358"/>
      <c r="AO64" s="358"/>
      <c r="AP64" s="384"/>
      <c r="AQ64" s="423">
        <v>20</v>
      </c>
      <c r="AR64" s="335" t="str">
        <f t="shared" si="0"/>
        <v/>
      </c>
      <c r="AS64" s="335" t="str">
        <f>IF(AV32=Dropdown!$A$68,"",IF(OR(ISBLANK(BA32),ISBLANK(BB32)),"",BB32/BA32))</f>
        <v/>
      </c>
      <c r="AT64" s="335" t="str">
        <f>IF(AV32=Dropdown!$A$68,"",IF(OR(ISBLANK(BA32),ISBLANK(AZ32)),"",AZ32*1000/BA32))</f>
        <v/>
      </c>
      <c r="AU64" s="522" t="str">
        <f>IF(ISERROR(Berechnungen!AI39)=TRUE,"",Berechnungen!AI39)</f>
        <v/>
      </c>
      <c r="AV64" s="522" t="str">
        <f>IF(ISERROR(Berechnungen!AJ39)=TRUE,"",Berechnungen!AJ39)</f>
        <v/>
      </c>
      <c r="AW64" s="522" t="str">
        <f>IF(ISERROR(Berechnungen!AK39)=TRUE,"",Berechnungen!AK39)</f>
        <v/>
      </c>
      <c r="AX64" s="423" t="str">
        <f>IF(ISERROR(Berechnungen!AU39)=TRUE,"",Berechnungen!AU39)</f>
        <v/>
      </c>
      <c r="AY64" s="572"/>
      <c r="AZ64" s="573"/>
      <c r="BA64" s="573"/>
      <c r="BB64" s="573"/>
      <c r="BC64" s="574"/>
      <c r="BD64" s="383"/>
      <c r="BE64" s="358"/>
      <c r="BH64" s="382"/>
      <c r="BZ64" s="358"/>
      <c r="CA64" s="478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0"/>
      <c r="CP64" s="360">
        <f>Datenbank!H64</f>
        <v>0</v>
      </c>
    </row>
    <row r="65" spans="1:94" ht="12" customHeight="1" x14ac:dyDescent="0.45">
      <c r="A65" s="382"/>
      <c r="F65" s="409"/>
      <c r="G65" s="409"/>
      <c r="H65" s="409"/>
      <c r="I65" s="409"/>
      <c r="J65" s="409"/>
      <c r="K65" s="409"/>
      <c r="L65" s="409"/>
      <c r="M65" s="409"/>
      <c r="N65" s="409"/>
      <c r="O65" s="409"/>
      <c r="P65" s="409"/>
      <c r="Q65" s="409"/>
      <c r="R65" s="382"/>
      <c r="S65" s="382"/>
      <c r="T65" s="358"/>
      <c r="AO65" s="358"/>
      <c r="AP65" s="484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7"/>
      <c r="BE65" s="358"/>
      <c r="BH65" s="382"/>
      <c r="BZ65" s="358"/>
      <c r="CA65" s="478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0"/>
      <c r="CP65" s="360">
        <f>Datenbank!H65</f>
        <v>0</v>
      </c>
    </row>
    <row r="66" spans="1:94" ht="12" customHeight="1" x14ac:dyDescent="0.45">
      <c r="A66" s="382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382"/>
      <c r="S66" s="382"/>
      <c r="T66" s="358"/>
      <c r="AO66" s="358"/>
      <c r="AP66" s="39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58"/>
      <c r="BH66" s="382"/>
      <c r="BZ66" s="358"/>
      <c r="CA66" s="478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0"/>
      <c r="CP66" s="360">
        <f>Datenbank!H66</f>
        <v>0</v>
      </c>
    </row>
    <row r="67" spans="1:94" ht="12" customHeight="1" x14ac:dyDescent="0.45">
      <c r="A67" s="382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382"/>
      <c r="S67" s="382"/>
      <c r="T67" s="358"/>
      <c r="AO67" s="358"/>
      <c r="AP67" s="39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58"/>
      <c r="BH67" s="382"/>
      <c r="BZ67" s="358"/>
      <c r="CA67" s="478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0"/>
      <c r="CP67" s="360">
        <f>Datenbank!H67</f>
        <v>0</v>
      </c>
    </row>
    <row r="68" spans="1:94" ht="12" customHeight="1" x14ac:dyDescent="0.45">
      <c r="A68" s="382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382"/>
      <c r="S68" s="382"/>
      <c r="T68" s="358"/>
      <c r="AO68" s="358"/>
      <c r="AP68" s="39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58"/>
      <c r="BH68" s="382"/>
      <c r="BZ68" s="358"/>
      <c r="CA68" s="478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0"/>
      <c r="CP68" s="360">
        <f>Datenbank!H68</f>
        <v>0</v>
      </c>
    </row>
    <row r="69" spans="1:94" ht="12" customHeight="1" x14ac:dyDescent="0.45">
      <c r="A69" s="382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382"/>
      <c r="S69" s="382"/>
      <c r="T69" s="358"/>
      <c r="AO69" s="358"/>
      <c r="AP69" s="39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58"/>
      <c r="BH69" s="382"/>
      <c r="BZ69" s="358"/>
      <c r="CA69" s="478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0"/>
      <c r="CP69" s="360">
        <f>Datenbank!H69</f>
        <v>0</v>
      </c>
    </row>
    <row r="70" spans="1:94" ht="12" customHeight="1" x14ac:dyDescent="0.45">
      <c r="A70" s="382"/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382"/>
      <c r="S70" s="382"/>
      <c r="T70" s="358"/>
      <c r="AO70" s="358"/>
      <c r="AP70" s="39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58"/>
      <c r="BH70" s="382"/>
      <c r="BZ70" s="358"/>
      <c r="CA70" s="478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0"/>
      <c r="CP70" s="360">
        <f>Datenbank!H70</f>
        <v>0</v>
      </c>
    </row>
    <row r="71" spans="1:94" ht="12" customHeight="1" x14ac:dyDescent="0.45">
      <c r="A71" s="382"/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382"/>
      <c r="S71" s="382"/>
      <c r="T71" s="358"/>
      <c r="AO71" s="358"/>
      <c r="AP71" s="39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58"/>
      <c r="BH71" s="382"/>
      <c r="BZ71" s="358"/>
      <c r="CA71" s="478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0"/>
      <c r="CP71" s="360">
        <f>Datenbank!H71</f>
        <v>0</v>
      </c>
    </row>
    <row r="72" spans="1:94" ht="12" customHeight="1" x14ac:dyDescent="0.45">
      <c r="A72" s="534"/>
      <c r="B72" s="535"/>
      <c r="C72" s="535"/>
      <c r="D72" s="535"/>
      <c r="E72" s="535"/>
      <c r="F72" s="535"/>
      <c r="G72" s="535"/>
      <c r="H72" s="535"/>
      <c r="M72" s="535"/>
      <c r="T72" s="358"/>
      <c r="AO72" s="358"/>
      <c r="AP72" s="39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58"/>
      <c r="BH72" s="382"/>
      <c r="BZ72" s="358"/>
      <c r="CA72" s="478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0"/>
      <c r="CP72" s="360">
        <f>Datenbank!H72</f>
        <v>0</v>
      </c>
    </row>
    <row r="73" spans="1:94" s="358" customFormat="1" ht="6" customHeight="1" x14ac:dyDescent="0.45">
      <c r="A73" s="536"/>
      <c r="B73" s="537"/>
      <c r="C73" s="537"/>
      <c r="D73" s="537"/>
      <c r="E73" s="537"/>
      <c r="F73" s="537"/>
      <c r="G73" s="537"/>
      <c r="H73" s="537"/>
      <c r="I73" s="538"/>
      <c r="J73" s="538"/>
      <c r="K73" s="538"/>
      <c r="L73" s="538"/>
      <c r="M73" s="537"/>
      <c r="N73" s="538"/>
      <c r="O73" s="538"/>
      <c r="P73" s="538"/>
      <c r="Q73" s="538"/>
      <c r="R73" s="538"/>
      <c r="S73" s="538"/>
      <c r="U73" s="538"/>
      <c r="V73" s="538"/>
      <c r="W73" s="538"/>
      <c r="X73" s="538"/>
      <c r="Y73" s="538"/>
      <c r="Z73" s="538"/>
      <c r="AA73" s="538"/>
      <c r="AB73" s="538"/>
      <c r="AC73" s="538"/>
      <c r="AD73" s="538"/>
      <c r="AE73" s="538"/>
      <c r="AF73" s="538"/>
      <c r="AG73" s="538"/>
      <c r="AH73" s="538"/>
      <c r="AI73" s="538"/>
      <c r="AJ73" s="538"/>
      <c r="AK73" s="538"/>
      <c r="AL73" s="538"/>
      <c r="AM73" s="538"/>
      <c r="AN73" s="538"/>
      <c r="AP73" s="539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C73" s="471"/>
      <c r="BD73" s="471"/>
      <c r="BF73" s="538"/>
      <c r="BG73" s="538"/>
      <c r="BH73" s="471"/>
      <c r="BI73" s="538"/>
      <c r="BJ73" s="538"/>
      <c r="BK73" s="538"/>
      <c r="BL73" s="538"/>
      <c r="BM73" s="538"/>
      <c r="BN73" s="538"/>
      <c r="BO73" s="538"/>
      <c r="BP73" s="538"/>
      <c r="BQ73" s="538"/>
      <c r="BR73" s="538"/>
      <c r="BS73" s="538"/>
      <c r="BT73" s="538"/>
      <c r="BU73" s="538"/>
      <c r="BV73" s="538"/>
      <c r="BW73" s="538"/>
      <c r="BX73" s="538"/>
      <c r="BY73" s="538"/>
      <c r="CA73" s="540"/>
      <c r="CB73" s="471"/>
      <c r="CC73" s="471"/>
      <c r="CD73" s="471"/>
      <c r="CE73" s="471"/>
      <c r="CF73" s="471"/>
      <c r="CG73" s="471"/>
      <c r="CH73" s="471"/>
      <c r="CI73" s="471"/>
      <c r="CJ73" s="471"/>
      <c r="CK73" s="471"/>
      <c r="CL73" s="471"/>
      <c r="CM73" s="471"/>
      <c r="CN73" s="471"/>
      <c r="CO73" s="541"/>
      <c r="CP73" s="360">
        <f>Datenbank!H73</f>
        <v>0</v>
      </c>
    </row>
    <row r="74" spans="1:94" ht="12" customHeight="1" x14ac:dyDescent="0.45">
      <c r="A74" s="382"/>
      <c r="B74" s="480" t="str">
        <f>IF(Kontrolle!F52&gt;0,Text!C284,"")</f>
        <v>Es sind noch folgende Pflichtfelder im Projektformular auszufüllen:</v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542"/>
      <c r="AP74" s="39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H74" s="382"/>
      <c r="CA74" s="478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0"/>
      <c r="CP74" s="360" t="str">
        <f>Datenbank!H74</f>
        <v>Nein</v>
      </c>
    </row>
    <row r="75" spans="1:94" ht="12" customHeight="1" x14ac:dyDescent="0.45">
      <c r="A75" s="382"/>
      <c r="B75" s="382" t="str">
        <f ca="1">Kontrolle!H2</f>
        <v/>
      </c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AP75" s="39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H75" s="382"/>
      <c r="CA75" s="478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0"/>
      <c r="CP75" s="360" t="str">
        <f>Datenbank!H75</f>
        <v>Nein</v>
      </c>
    </row>
    <row r="76" spans="1:94" ht="12" customHeight="1" x14ac:dyDescent="0.45">
      <c r="A76" s="382"/>
      <c r="B76" s="382" t="str">
        <f ca="1">Kontrolle!H3</f>
        <v/>
      </c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AP76" s="39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CA76" s="478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0"/>
      <c r="CP76" s="360" t="str">
        <f>Datenbank!H76</f>
        <v>Ja</v>
      </c>
    </row>
    <row r="77" spans="1:94" ht="12" customHeight="1" x14ac:dyDescent="0.45">
      <c r="A77" s="382"/>
      <c r="B77" s="382" t="str">
        <f ca="1">Kontrolle!H4</f>
        <v/>
      </c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AP77" s="39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CA77" s="478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0"/>
      <c r="CP77" s="360" t="str">
        <f>Datenbank!H77</f>
        <v>Andere:</v>
      </c>
    </row>
    <row r="78" spans="1:94" ht="12" customHeight="1" x14ac:dyDescent="0.45">
      <c r="A78" s="382"/>
      <c r="B78" s="382" t="str">
        <f ca="1">Kontrolle!H5</f>
        <v/>
      </c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AP78" s="39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CA78" s="478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0"/>
      <c r="CP78" s="360">
        <f>Datenbank!H78</f>
        <v>0</v>
      </c>
    </row>
    <row r="79" spans="1:94" ht="12" customHeight="1" x14ac:dyDescent="0.45">
      <c r="A79" s="382"/>
      <c r="B79" s="382" t="str">
        <f ca="1">Kontrolle!H6</f>
        <v/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AP79" s="39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CA79" s="478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0"/>
      <c r="CP79" s="360" t="str">
        <f>Datenbank!H79</f>
        <v>Ja</v>
      </c>
    </row>
    <row r="80" spans="1:94" ht="12" customHeight="1" x14ac:dyDescent="0.45">
      <c r="A80" s="382"/>
      <c r="B80" s="382" t="str">
        <f ca="1">Kontrolle!H7</f>
        <v/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AP80" s="39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CA80" s="478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0"/>
      <c r="CP80" s="360" t="str">
        <f>Datenbank!H80</f>
        <v>Mehrkesselanlage</v>
      </c>
    </row>
    <row r="81" spans="1:94" ht="12" customHeight="1" x14ac:dyDescent="0.45">
      <c r="A81" s="382"/>
      <c r="B81" s="382" t="str">
        <f ca="1">Kontrolle!H8</f>
        <v/>
      </c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AP81" s="39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CA81" s="478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0"/>
      <c r="CP81" s="360" t="str">
        <f>Datenbank!H81</f>
        <v>Sonstige:</v>
      </c>
    </row>
    <row r="82" spans="1:94" ht="12" customHeight="1" x14ac:dyDescent="0.45">
      <c r="A82" s="382"/>
      <c r="B82" s="382" t="str">
        <f ca="1">Kontrolle!H9</f>
        <v/>
      </c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AP82" s="39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CA82" s="478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0"/>
      <c r="CP82" s="360">
        <f>Datenbank!H82</f>
        <v>0</v>
      </c>
    </row>
    <row r="83" spans="1:94" ht="12" customHeight="1" x14ac:dyDescent="0.45">
      <c r="A83" s="382"/>
      <c r="B83" s="382" t="str">
        <f ca="1">Kontrolle!H10</f>
        <v/>
      </c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AP83" s="39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CA83" s="478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0"/>
      <c r="CP83" s="360" t="str">
        <f>Datenbank!H83</f>
        <v>Holzhackschnitzel, ganzjährig M &lt; 35%</v>
      </c>
    </row>
    <row r="84" spans="1:94" ht="12" customHeight="1" x14ac:dyDescent="0.45">
      <c r="A84" s="382"/>
      <c r="B84" s="382" t="str">
        <f ca="1">Kontrolle!H11</f>
        <v/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AP84" s="39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CA84" s="478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0"/>
      <c r="CP84" s="360">
        <f>Datenbank!H84</f>
        <v>0</v>
      </c>
    </row>
    <row r="85" spans="1:94" ht="12" customHeight="1" x14ac:dyDescent="0.45">
      <c r="A85" s="382"/>
      <c r="B85" s="382" t="str">
        <f ca="1">Kontrolle!H12</f>
        <v/>
      </c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AP85" s="39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CA85" s="478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0"/>
      <c r="CP85" s="360">
        <f>Datenbank!H85</f>
        <v>0</v>
      </c>
    </row>
    <row r="86" spans="1:94" ht="12" customHeight="1" x14ac:dyDescent="0.45">
      <c r="A86" s="382"/>
      <c r="B86" s="382" t="str">
        <f ca="1">Kontrolle!H13</f>
        <v/>
      </c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AP86" s="39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CA86" s="478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0"/>
      <c r="CP86" s="360">
        <f>Datenbank!H86</f>
        <v>0</v>
      </c>
    </row>
    <row r="87" spans="1:94" ht="12" customHeight="1" x14ac:dyDescent="0.45">
      <c r="A87" s="382"/>
      <c r="B87" s="382" t="str">
        <f ca="1">Kontrolle!H14</f>
        <v/>
      </c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AP87" s="39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CA87" s="478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0"/>
      <c r="CP87" s="360">
        <f>Datenbank!H87</f>
        <v>0</v>
      </c>
    </row>
    <row r="88" spans="1:94" ht="12" customHeight="1" x14ac:dyDescent="0.45">
      <c r="A88" s="382"/>
      <c r="B88" s="382" t="str">
        <f ca="1">Kontrolle!H15</f>
        <v/>
      </c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AP88" s="39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CA88" s="478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0"/>
      <c r="CP88" s="360">
        <f>Datenbank!H88</f>
        <v>0</v>
      </c>
    </row>
    <row r="89" spans="1:94" ht="12" customHeight="1" x14ac:dyDescent="0.45">
      <c r="A89" s="382"/>
      <c r="B89" s="382" t="str">
        <f ca="1">Kontrolle!H16</f>
        <v/>
      </c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AP89" s="39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CA89" s="478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0"/>
      <c r="CP89" s="360">
        <f>Datenbank!H89</f>
        <v>0</v>
      </c>
    </row>
    <row r="90" spans="1:94" ht="12" customHeight="1" x14ac:dyDescent="0.45">
      <c r="A90" s="382"/>
      <c r="B90" s="382" t="str">
        <f ca="1">Kontrolle!H17</f>
        <v/>
      </c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AP90" s="39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CA90" s="478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0"/>
      <c r="CP90" s="360" t="e">
        <f>Datenbank!H90</f>
        <v>#DIV/0!</v>
      </c>
    </row>
    <row r="91" spans="1:94" ht="12" customHeight="1" x14ac:dyDescent="0.45">
      <c r="A91" s="382"/>
      <c r="B91" s="382" t="str">
        <f ca="1">Kontrolle!H18</f>
        <v/>
      </c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AP91" s="39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CA91" s="478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0"/>
      <c r="CP91" s="360" t="e">
        <f>Datenbank!H91</f>
        <v>#DIV/0!</v>
      </c>
    </row>
    <row r="92" spans="1:94" ht="12" customHeight="1" x14ac:dyDescent="0.45">
      <c r="A92" s="382"/>
      <c r="B92" s="382" t="str">
        <f ca="1">Kontrolle!H19</f>
        <v/>
      </c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AP92" s="39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CA92" s="478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0"/>
      <c r="CP92" s="360">
        <f>Datenbank!H92</f>
        <v>0</v>
      </c>
    </row>
    <row r="93" spans="1:94" ht="12" customHeight="1" x14ac:dyDescent="0.45">
      <c r="A93" s="382"/>
      <c r="B93" s="382" t="str">
        <f ca="1">Kontrolle!H20</f>
        <v/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AP93" s="39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CA93" s="478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0"/>
      <c r="CP93" s="360">
        <f>Datenbank!H93</f>
        <v>0</v>
      </c>
    </row>
    <row r="94" spans="1:94" ht="12" customHeight="1" x14ac:dyDescent="0.45">
      <c r="A94" s="382"/>
      <c r="B94" s="382" t="str">
        <f ca="1">Kontrolle!H21</f>
        <v/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AP94" s="39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CA94" s="478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0"/>
      <c r="CP94" s="360" t="e">
        <f>Datenbank!H94</f>
        <v>#DIV/0!</v>
      </c>
    </row>
    <row r="95" spans="1:94" ht="12" customHeight="1" x14ac:dyDescent="0.45">
      <c r="A95" s="382"/>
      <c r="B95" s="382" t="str">
        <f ca="1">Kontrolle!H22</f>
        <v/>
      </c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AP95" s="39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CA95" s="478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0"/>
      <c r="CP95" s="360" t="e">
        <f>Datenbank!H95</f>
        <v>#DIV/0!</v>
      </c>
    </row>
    <row r="96" spans="1:94" ht="12" customHeight="1" x14ac:dyDescent="0.45">
      <c r="A96" s="382"/>
      <c r="B96" s="382" t="str">
        <f ca="1">Kontrolle!H23</f>
        <v/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AP96" s="39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CA96" s="478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0"/>
      <c r="CP96" s="360">
        <f>Datenbank!H96</f>
        <v>0</v>
      </c>
    </row>
    <row r="97" spans="1:94" ht="12" customHeight="1" x14ac:dyDescent="0.45">
      <c r="A97" s="382"/>
      <c r="B97" s="382" t="str">
        <f ca="1">Kontrolle!H24</f>
        <v/>
      </c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AP97" s="39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CA97" s="478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0"/>
      <c r="CP97" s="360">
        <f>Datenbank!H97</f>
        <v>0</v>
      </c>
    </row>
    <row r="98" spans="1:94" ht="12" customHeight="1" x14ac:dyDescent="0.45">
      <c r="A98" s="382"/>
      <c r="B98" s="382" t="str">
        <f ca="1">Kontrolle!H25</f>
        <v/>
      </c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AP98" s="39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CA98" s="478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0"/>
      <c r="CP98" s="360">
        <f>Datenbank!H98</f>
        <v>0</v>
      </c>
    </row>
    <row r="99" spans="1:94" ht="12" customHeight="1" x14ac:dyDescent="0.45">
      <c r="A99" s="382"/>
      <c r="B99" s="382" t="str">
        <f ca="1">Kontrolle!H26</f>
        <v/>
      </c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AP99" s="39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CA99" s="478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0"/>
      <c r="CP99" s="360">
        <f>Datenbank!H99</f>
        <v>0</v>
      </c>
    </row>
    <row r="100" spans="1:94" ht="12" customHeight="1" x14ac:dyDescent="0.45">
      <c r="A100" s="382"/>
      <c r="B100" s="382" t="str">
        <f ca="1">Kontrolle!H27</f>
        <v/>
      </c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AP100" s="39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CA100" s="478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0"/>
      <c r="CP100" s="360">
        <f>Datenbank!H100</f>
        <v>0</v>
      </c>
    </row>
    <row r="101" spans="1:94" ht="12" customHeight="1" x14ac:dyDescent="0.45">
      <c r="A101" s="382"/>
      <c r="B101" s="382" t="str">
        <f ca="1">Kontrolle!H28</f>
        <v/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AP101" s="39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CA101" s="478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0"/>
      <c r="CP101" s="360">
        <f>Datenbank!H101</f>
        <v>0</v>
      </c>
    </row>
    <row r="102" spans="1:94" ht="12" customHeight="1" x14ac:dyDescent="0.45">
      <c r="A102" s="382"/>
      <c r="B102" s="382" t="str">
        <f ca="1">Kontrolle!H29</f>
        <v/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AP102" s="39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CA102" s="478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0"/>
      <c r="CP102" s="360">
        <f>Datenbank!H102</f>
        <v>0</v>
      </c>
    </row>
    <row r="103" spans="1:94" ht="12" customHeight="1" x14ac:dyDescent="0.45">
      <c r="A103" s="382"/>
      <c r="B103" s="382" t="str">
        <f ca="1">Kontrolle!H30</f>
        <v/>
      </c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AP103" s="39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CA103" s="478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0"/>
      <c r="CP103" s="360" t="e">
        <f>Datenbank!H103</f>
        <v>#DIV/0!</v>
      </c>
    </row>
    <row r="104" spans="1:94" ht="12" customHeight="1" x14ac:dyDescent="0.45">
      <c r="A104" s="382"/>
      <c r="B104" s="382" t="str">
        <f ca="1">Kontrolle!H31</f>
        <v/>
      </c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AP104" s="39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CA104" s="478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0"/>
      <c r="CP104" s="360" t="e">
        <f>Datenbank!H104</f>
        <v>#DIV/0!</v>
      </c>
    </row>
    <row r="105" spans="1:94" ht="12" customHeight="1" x14ac:dyDescent="0.45">
      <c r="A105" s="382"/>
      <c r="B105" s="382" t="str">
        <f ca="1">Kontrolle!H33</f>
        <v/>
      </c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AP105" s="39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CA105" s="478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0"/>
      <c r="CP105" s="360" t="e">
        <f>Datenbank!H105</f>
        <v>#DIV/0!</v>
      </c>
    </row>
    <row r="106" spans="1:94" ht="12" customHeight="1" x14ac:dyDescent="0.45">
      <c r="A106" s="382"/>
      <c r="B106" s="382" t="str">
        <f ca="1">Kontrolle!H34</f>
        <v/>
      </c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AP106" s="39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CA106" s="543"/>
      <c r="CB106" s="544"/>
      <c r="CC106" s="544"/>
      <c r="CD106" s="544"/>
      <c r="CE106" s="544"/>
      <c r="CF106" s="544"/>
      <c r="CG106" s="544"/>
      <c r="CH106" s="544"/>
      <c r="CI106" s="544"/>
      <c r="CJ106" s="544"/>
      <c r="CK106" s="544"/>
      <c r="CL106" s="544"/>
      <c r="CM106" s="544"/>
      <c r="CP106" s="360" t="e">
        <f>Datenbank!H106</f>
        <v>#DIV/0!</v>
      </c>
    </row>
    <row r="107" spans="1:94" ht="12" customHeight="1" x14ac:dyDescent="0.45">
      <c r="A107" s="382"/>
      <c r="B107" s="382" t="str">
        <f ca="1">Kontrolle!H35</f>
        <v/>
      </c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AP107" s="39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CA107" s="543"/>
      <c r="CB107" s="544"/>
      <c r="CC107" s="544"/>
      <c r="CD107" s="544"/>
      <c r="CE107" s="544"/>
      <c r="CF107" s="544"/>
      <c r="CG107" s="544"/>
      <c r="CH107" s="544"/>
      <c r="CI107" s="544"/>
      <c r="CJ107" s="544"/>
      <c r="CK107" s="544"/>
      <c r="CL107" s="544"/>
      <c r="CM107" s="544"/>
      <c r="CP107" s="360">
        <f>Datenbank!H107</f>
        <v>0</v>
      </c>
    </row>
    <row r="108" spans="1:94" ht="12" customHeight="1" x14ac:dyDescent="0.45">
      <c r="A108" s="382"/>
      <c r="B108" s="382" t="str">
        <f ca="1">Kontrolle!H36</f>
        <v/>
      </c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AP108" s="39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CA108" s="543"/>
      <c r="CB108" s="544"/>
      <c r="CC108" s="544"/>
      <c r="CD108" s="544"/>
      <c r="CE108" s="544"/>
      <c r="CF108" s="544"/>
      <c r="CG108" s="544"/>
      <c r="CH108" s="544"/>
      <c r="CI108" s="544"/>
      <c r="CJ108" s="544"/>
      <c r="CK108" s="544"/>
      <c r="CL108" s="544"/>
      <c r="CM108" s="544"/>
      <c r="CP108" s="360">
        <f>Datenbank!H108</f>
        <v>0</v>
      </c>
    </row>
    <row r="109" spans="1:94" ht="12" customHeight="1" x14ac:dyDescent="0.45">
      <c r="A109" s="382"/>
      <c r="B109" s="382" t="str">
        <f ca="1">Kontrolle!H37</f>
        <v/>
      </c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AP109" s="39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CA109" s="543"/>
      <c r="CB109" s="544"/>
      <c r="CC109" s="544"/>
      <c r="CD109" s="544"/>
      <c r="CE109" s="544"/>
      <c r="CF109" s="544"/>
      <c r="CG109" s="544"/>
      <c r="CH109" s="544"/>
      <c r="CI109" s="544"/>
      <c r="CJ109" s="544"/>
      <c r="CK109" s="544"/>
      <c r="CL109" s="544"/>
      <c r="CM109" s="544"/>
      <c r="CP109" s="360">
        <f>Datenbank!H109</f>
        <v>0</v>
      </c>
    </row>
    <row r="110" spans="1:94" ht="12" customHeight="1" x14ac:dyDescent="0.45">
      <c r="A110" s="382"/>
      <c r="B110" s="382" t="str">
        <f ca="1">Kontrolle!H38</f>
        <v/>
      </c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AP110" s="39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CA110" s="543"/>
      <c r="CB110" s="544"/>
      <c r="CC110" s="544"/>
      <c r="CD110" s="544"/>
      <c r="CE110" s="544"/>
      <c r="CF110" s="544"/>
      <c r="CG110" s="544"/>
      <c r="CH110" s="544"/>
      <c r="CI110" s="544"/>
      <c r="CJ110" s="544"/>
      <c r="CK110" s="544"/>
      <c r="CL110" s="544"/>
      <c r="CM110" s="544"/>
      <c r="CP110" s="360" t="e">
        <f>Datenbank!H110</f>
        <v>#DIV/0!</v>
      </c>
    </row>
    <row r="111" spans="1:94" ht="12" customHeight="1" x14ac:dyDescent="0.45">
      <c r="A111" s="382"/>
      <c r="B111" s="382" t="str">
        <f ca="1">Kontrolle!H39</f>
        <v/>
      </c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CA111" s="543"/>
      <c r="CB111" s="544"/>
      <c r="CC111" s="544"/>
      <c r="CD111" s="544"/>
      <c r="CE111" s="544"/>
      <c r="CF111" s="544"/>
      <c r="CG111" s="544"/>
      <c r="CH111" s="544"/>
      <c r="CI111" s="544"/>
      <c r="CJ111" s="544"/>
      <c r="CK111" s="544"/>
      <c r="CL111" s="544"/>
      <c r="CM111" s="544"/>
      <c r="CP111" s="360">
        <f>Datenbank!H111</f>
        <v>0</v>
      </c>
    </row>
    <row r="112" spans="1:94" ht="12" customHeight="1" x14ac:dyDescent="0.45">
      <c r="A112" s="382"/>
      <c r="B112" s="382" t="str">
        <f ca="1">Kontrolle!H40</f>
        <v/>
      </c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CA112" s="543"/>
      <c r="CB112" s="544"/>
      <c r="CC112" s="544"/>
      <c r="CD112" s="544"/>
      <c r="CE112" s="544"/>
      <c r="CF112" s="544"/>
      <c r="CG112" s="544"/>
      <c r="CH112" s="544"/>
      <c r="CI112" s="544"/>
      <c r="CJ112" s="544"/>
      <c r="CK112" s="544"/>
      <c r="CL112" s="544"/>
      <c r="CM112" s="544"/>
      <c r="CP112" s="360">
        <f>Datenbank!H112</f>
        <v>0</v>
      </c>
    </row>
    <row r="113" spans="1:94" ht="12" customHeight="1" x14ac:dyDescent="0.45">
      <c r="A113" s="382"/>
      <c r="B113" s="382" t="str">
        <f ca="1">Kontrolle!H41</f>
        <v/>
      </c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CA113" s="543"/>
      <c r="CB113" s="544"/>
      <c r="CC113" s="544"/>
      <c r="CD113" s="544"/>
      <c r="CE113" s="544"/>
      <c r="CF113" s="544"/>
      <c r="CG113" s="544"/>
      <c r="CH113" s="544"/>
      <c r="CI113" s="544"/>
      <c r="CJ113" s="544"/>
      <c r="CK113" s="544"/>
      <c r="CL113" s="544"/>
      <c r="CM113" s="544"/>
      <c r="CP113" s="360">
        <f>Datenbank!H113</f>
        <v>0</v>
      </c>
    </row>
    <row r="114" spans="1:94" ht="12" customHeight="1" x14ac:dyDescent="0.45">
      <c r="A114" s="382"/>
      <c r="B114" s="382" t="str">
        <f ca="1">Kontrolle!H42</f>
        <v/>
      </c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CA114" s="543"/>
      <c r="CB114" s="544"/>
      <c r="CC114" s="544"/>
      <c r="CD114" s="544"/>
      <c r="CE114" s="544"/>
      <c r="CF114" s="544"/>
      <c r="CG114" s="544"/>
      <c r="CH114" s="544"/>
      <c r="CI114" s="544"/>
      <c r="CJ114" s="544"/>
      <c r="CK114" s="544"/>
      <c r="CL114" s="544"/>
      <c r="CM114" s="544"/>
      <c r="CP114" s="360" t="e">
        <f>Datenbank!H114</f>
        <v>#DIV/0!</v>
      </c>
    </row>
    <row r="115" spans="1:94" ht="12" customHeight="1" x14ac:dyDescent="0.45">
      <c r="A115" s="382"/>
      <c r="B115" s="382" t="str">
        <f ca="1">Kontrolle!H44</f>
        <v/>
      </c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CA115" s="543"/>
      <c r="CB115" s="544"/>
      <c r="CC115" s="544"/>
      <c r="CD115" s="544"/>
      <c r="CE115" s="544"/>
      <c r="CF115" s="544"/>
      <c r="CG115" s="544"/>
      <c r="CH115" s="544"/>
      <c r="CI115" s="544"/>
      <c r="CJ115" s="544"/>
      <c r="CK115" s="544"/>
      <c r="CL115" s="544"/>
      <c r="CM115" s="544"/>
      <c r="CP115" s="360" t="str">
        <f>Datenbank!H115</f>
        <v>Ja</v>
      </c>
    </row>
    <row r="116" spans="1:94" ht="12" customHeight="1" x14ac:dyDescent="0.45">
      <c r="A116" s="382"/>
      <c r="B116" s="382" t="str">
        <f ca="1">Kontrolle!H45</f>
        <v/>
      </c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CA116" s="543"/>
      <c r="CB116" s="544"/>
      <c r="CC116" s="544"/>
      <c r="CD116" s="544"/>
      <c r="CE116" s="544"/>
      <c r="CF116" s="544"/>
      <c r="CG116" s="544"/>
      <c r="CH116" s="544"/>
      <c r="CI116" s="544"/>
      <c r="CJ116" s="544"/>
      <c r="CK116" s="544"/>
      <c r="CL116" s="544"/>
      <c r="CM116" s="544"/>
      <c r="CP116" s="360">
        <f>Datenbank!H116</f>
        <v>0</v>
      </c>
    </row>
    <row r="117" spans="1:94" ht="12" customHeight="1" x14ac:dyDescent="0.45">
      <c r="A117" s="382"/>
      <c r="B117" s="382" t="str">
        <f ca="1">Kontrolle!H46</f>
        <v/>
      </c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CA117" s="543"/>
      <c r="CB117" s="544"/>
      <c r="CC117" s="544"/>
      <c r="CD117" s="544"/>
      <c r="CE117" s="544"/>
      <c r="CF117" s="544"/>
      <c r="CG117" s="544"/>
      <c r="CH117" s="544"/>
      <c r="CI117" s="544"/>
      <c r="CJ117" s="544"/>
      <c r="CK117" s="544"/>
      <c r="CL117" s="544"/>
      <c r="CM117" s="544"/>
      <c r="CP117" s="360">
        <f>Datenbank!H117</f>
        <v>0</v>
      </c>
    </row>
    <row r="118" spans="1:94" ht="12" customHeight="1" x14ac:dyDescent="0.45">
      <c r="A118" s="382"/>
      <c r="B118" s="382" t="str">
        <f ca="1">Kontrolle!H47</f>
        <v/>
      </c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CA118" s="543"/>
      <c r="CB118" s="544"/>
      <c r="CC118" s="544"/>
      <c r="CD118" s="544"/>
      <c r="CE118" s="544"/>
      <c r="CF118" s="544"/>
      <c r="CG118" s="544"/>
      <c r="CH118" s="544"/>
      <c r="CI118" s="544"/>
      <c r="CJ118" s="544"/>
      <c r="CK118" s="544"/>
      <c r="CL118" s="544"/>
      <c r="CM118" s="544"/>
      <c r="CP118" s="360">
        <f>Datenbank!H118</f>
        <v>0</v>
      </c>
    </row>
    <row r="119" spans="1:94" ht="12" customHeight="1" x14ac:dyDescent="0.45">
      <c r="A119" s="382"/>
      <c r="B119" s="382" t="str">
        <f ca="1">Kontrolle!H49</f>
        <v/>
      </c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CA119" s="543"/>
      <c r="CB119" s="544"/>
      <c r="CC119" s="544"/>
      <c r="CD119" s="544"/>
      <c r="CE119" s="544"/>
      <c r="CF119" s="544"/>
      <c r="CG119" s="544"/>
      <c r="CH119" s="544"/>
      <c r="CI119" s="544"/>
      <c r="CJ119" s="544"/>
      <c r="CK119" s="544"/>
      <c r="CL119" s="544"/>
      <c r="CM119" s="544"/>
      <c r="CP119" s="360">
        <f>Datenbank!H119</f>
        <v>0</v>
      </c>
    </row>
    <row r="120" spans="1:94" ht="12" customHeight="1" x14ac:dyDescent="0.45">
      <c r="A120" s="382"/>
      <c r="B120" s="382" t="str">
        <f ca="1">Kontrolle!H50</f>
        <v/>
      </c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CA120" s="543"/>
      <c r="CB120" s="544"/>
      <c r="CC120" s="544"/>
      <c r="CD120" s="544"/>
      <c r="CE120" s="544"/>
      <c r="CF120" s="544"/>
      <c r="CG120" s="544"/>
      <c r="CH120" s="544"/>
      <c r="CI120" s="544"/>
      <c r="CJ120" s="544"/>
      <c r="CK120" s="544"/>
      <c r="CL120" s="544"/>
      <c r="CM120" s="544"/>
      <c r="CP120" s="360">
        <f>Datenbank!H120</f>
        <v>0</v>
      </c>
    </row>
    <row r="121" spans="1:94" ht="12" customHeight="1" x14ac:dyDescent="0.45">
      <c r="A121" s="382"/>
      <c r="B121" s="382" t="str">
        <f ca="1">Kontrolle!H51</f>
        <v/>
      </c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CA121" s="543"/>
      <c r="CB121" s="544"/>
      <c r="CC121" s="544"/>
      <c r="CD121" s="544"/>
      <c r="CE121" s="544"/>
      <c r="CF121" s="544"/>
      <c r="CG121" s="544"/>
      <c r="CH121" s="544"/>
      <c r="CI121" s="544"/>
      <c r="CJ121" s="544"/>
      <c r="CK121" s="544"/>
      <c r="CL121" s="544"/>
      <c r="CM121" s="544"/>
      <c r="CP121" s="360">
        <f>Datenbank!H121</f>
        <v>0</v>
      </c>
    </row>
    <row r="122" spans="1:94" ht="12" customHeight="1" x14ac:dyDescent="0.45">
      <c r="B122" s="382"/>
      <c r="CA122" s="543"/>
      <c r="CB122" s="544"/>
      <c r="CC122" s="544"/>
      <c r="CD122" s="544"/>
      <c r="CE122" s="544"/>
      <c r="CF122" s="544"/>
      <c r="CG122" s="544"/>
      <c r="CH122" s="544"/>
      <c r="CI122" s="544"/>
      <c r="CJ122" s="544"/>
      <c r="CK122" s="544"/>
      <c r="CL122" s="544"/>
      <c r="CM122" s="544"/>
      <c r="CP122" s="360">
        <f>Datenbank!H122</f>
        <v>0</v>
      </c>
    </row>
    <row r="123" spans="1:94" ht="12" customHeight="1" x14ac:dyDescent="0.45">
      <c r="B123" s="382"/>
      <c r="CP123" s="360" t="e">
        <f>Datenbank!H123</f>
        <v>#DIV/0!</v>
      </c>
    </row>
    <row r="124" spans="1:94" ht="12" customHeight="1" x14ac:dyDescent="0.45">
      <c r="B124" s="382"/>
      <c r="CP124" s="360" t="str">
        <f>Datenbank!H124</f>
        <v>Srm/a</v>
      </c>
    </row>
    <row r="125" spans="1:94" ht="12" customHeight="1" x14ac:dyDescent="0.45">
      <c r="B125" s="382"/>
      <c r="CP125" s="360" t="e">
        <f>Datenbank!H125</f>
        <v>#N/A</v>
      </c>
    </row>
    <row r="126" spans="1:94" ht="12" customHeight="1" x14ac:dyDescent="0.45">
      <c r="B126" s="382"/>
      <c r="CP126" s="360" t="e">
        <f>Datenbank!H126</f>
        <v>#DIV/0!</v>
      </c>
    </row>
    <row r="127" spans="1:94" ht="12" customHeight="1" x14ac:dyDescent="0.45">
      <c r="B127" s="382"/>
      <c r="CP127" s="360" t="e">
        <f>Datenbank!H127</f>
        <v>#DIV/0!</v>
      </c>
    </row>
    <row r="128" spans="1:94" ht="12" customHeight="1" x14ac:dyDescent="0.45">
      <c r="B128" s="382"/>
      <c r="CP128" s="360">
        <f>Datenbank!H128</f>
        <v>0</v>
      </c>
    </row>
    <row r="129" spans="2:94" ht="12" customHeight="1" x14ac:dyDescent="0.45">
      <c r="B129" s="382"/>
      <c r="CP129" s="360">
        <f>Datenbank!H129</f>
        <v>0</v>
      </c>
    </row>
    <row r="130" spans="2:94" ht="12" customHeight="1" x14ac:dyDescent="0.45">
      <c r="B130" s="382"/>
      <c r="CP130" s="360">
        <f>Datenbank!H130</f>
        <v>0</v>
      </c>
    </row>
    <row r="131" spans="2:94" ht="12" customHeight="1" x14ac:dyDescent="0.45">
      <c r="B131" s="382"/>
      <c r="CP131" s="360">
        <f>Datenbank!H131</f>
        <v>0</v>
      </c>
    </row>
    <row r="132" spans="2:94" ht="12" customHeight="1" x14ac:dyDescent="0.45">
      <c r="B132" s="382"/>
      <c r="CP132" s="360" t="e">
        <f>Datenbank!H132</f>
        <v>#DIV/0!</v>
      </c>
    </row>
    <row r="133" spans="2:94" ht="12" customHeight="1" x14ac:dyDescent="0.45">
      <c r="B133" s="382"/>
      <c r="CP133" s="360" t="e">
        <f>Datenbank!H133</f>
        <v>#VALUE!</v>
      </c>
    </row>
    <row r="134" spans="2:94" ht="12" customHeight="1" x14ac:dyDescent="0.45">
      <c r="CP134" s="360" t="str">
        <f>Datenbank!H134</f>
        <v>10%</v>
      </c>
    </row>
    <row r="135" spans="2:94" ht="12" customHeight="1" x14ac:dyDescent="0.45">
      <c r="CP135" s="360" t="e">
        <f>Datenbank!H135</f>
        <v>#VALUE!</v>
      </c>
    </row>
    <row r="136" spans="2:94" ht="12" customHeight="1" x14ac:dyDescent="0.45">
      <c r="CP136" s="360">
        <f>Datenbank!H136</f>
        <v>0</v>
      </c>
    </row>
    <row r="137" spans="2:94" ht="12" customHeight="1" x14ac:dyDescent="0.45">
      <c r="CP137" s="360">
        <f>Datenbank!H137</f>
        <v>0</v>
      </c>
    </row>
    <row r="138" spans="2:94" ht="12" customHeight="1" x14ac:dyDescent="0.45">
      <c r="CP138" s="360">
        <f>Datenbank!H138</f>
        <v>0</v>
      </c>
    </row>
    <row r="139" spans="2:94" ht="12" customHeight="1" x14ac:dyDescent="0.45">
      <c r="CP139" s="360">
        <f>Datenbank!H139</f>
        <v>0</v>
      </c>
    </row>
    <row r="140" spans="2:94" ht="12" customHeight="1" x14ac:dyDescent="0.45">
      <c r="CP140" s="360">
        <f>Datenbank!H140</f>
        <v>0</v>
      </c>
    </row>
    <row r="141" spans="2:94" ht="12" customHeight="1" x14ac:dyDescent="0.45">
      <c r="CP141" s="360" t="e">
        <f>Datenbank!H141</f>
        <v>#VALUE!</v>
      </c>
    </row>
    <row r="142" spans="2:94" ht="12" customHeight="1" x14ac:dyDescent="0.45">
      <c r="CP142" s="360" t="e">
        <f>Datenbank!H142</f>
        <v>#VALUE!</v>
      </c>
    </row>
    <row r="143" spans="2:94" ht="12" customHeight="1" x14ac:dyDescent="0.45">
      <c r="CP143" s="360">
        <f>Datenbank!H143</f>
        <v>0</v>
      </c>
    </row>
    <row r="144" spans="2:94" ht="12" customHeight="1" x14ac:dyDescent="0.45">
      <c r="CP144" s="360" t="str">
        <f>Datenbank!H144</f>
        <v>Nein</v>
      </c>
    </row>
    <row r="145" spans="94:94" ht="12" customHeight="1" x14ac:dyDescent="0.45">
      <c r="CP145" s="360">
        <f>Datenbank!H145</f>
        <v>0</v>
      </c>
    </row>
    <row r="146" spans="94:94" ht="12" customHeight="1" x14ac:dyDescent="0.45">
      <c r="CP146" s="360">
        <f>Datenbank!H146</f>
        <v>0</v>
      </c>
    </row>
    <row r="147" spans="94:94" ht="12" customHeight="1" x14ac:dyDescent="0.45">
      <c r="CP147" s="360">
        <f>Datenbank!H147</f>
        <v>0</v>
      </c>
    </row>
    <row r="148" spans="94:94" ht="12" customHeight="1" x14ac:dyDescent="0.45">
      <c r="CP148" s="360">
        <f>Datenbank!H148</f>
        <v>0</v>
      </c>
    </row>
    <row r="149" spans="94:94" ht="12" customHeight="1" x14ac:dyDescent="0.45">
      <c r="CP149" s="360">
        <f>Datenbank!H149</f>
        <v>850</v>
      </c>
    </row>
    <row r="150" spans="94:94" ht="12" customHeight="1" x14ac:dyDescent="0.45">
      <c r="CP150" s="360" t="e">
        <f>Datenbank!H150</f>
        <v>#DIV/0!</v>
      </c>
    </row>
    <row r="151" spans="94:94" ht="12" customHeight="1" x14ac:dyDescent="0.45">
      <c r="CP151" s="360" t="str">
        <f>Datenbank!H151</f>
        <v>6 - 8</v>
      </c>
    </row>
    <row r="152" spans="94:94" ht="12" customHeight="1" x14ac:dyDescent="0.45">
      <c r="CP152" s="360" t="e">
        <f>Datenbank!H152</f>
        <v>#DIV/0!</v>
      </c>
    </row>
    <row r="153" spans="94:94" ht="12" customHeight="1" x14ac:dyDescent="0.45">
      <c r="CP153" s="360">
        <f>Datenbank!H153</f>
        <v>0</v>
      </c>
    </row>
    <row r="154" spans="94:94" ht="12" customHeight="1" x14ac:dyDescent="0.45">
      <c r="CP154" s="360">
        <f>Datenbank!H154</f>
        <v>0</v>
      </c>
    </row>
    <row r="155" spans="94:94" ht="12" customHeight="1" x14ac:dyDescent="0.45">
      <c r="CP155" s="360">
        <f>Datenbank!H155</f>
        <v>0</v>
      </c>
    </row>
    <row r="156" spans="94:94" ht="12" customHeight="1" x14ac:dyDescent="0.45">
      <c r="CP156" s="360">
        <f>Datenbank!H156</f>
        <v>0</v>
      </c>
    </row>
    <row r="157" spans="94:94" ht="12" customHeight="1" x14ac:dyDescent="0.45">
      <c r="CP157" s="360">
        <f>Datenbank!H157</f>
        <v>0</v>
      </c>
    </row>
    <row r="158" spans="94:94" ht="12" customHeight="1" x14ac:dyDescent="0.45">
      <c r="CP158" s="360">
        <f>Datenbank!H158</f>
        <v>0</v>
      </c>
    </row>
    <row r="159" spans="94:94" ht="12" customHeight="1" x14ac:dyDescent="0.45">
      <c r="CP159" s="360" t="e">
        <f>Datenbank!H159</f>
        <v>#VALUE!</v>
      </c>
    </row>
    <row r="160" spans="94:94" ht="12" customHeight="1" x14ac:dyDescent="0.45">
      <c r="CP160" s="360">
        <f>Datenbank!H160</f>
        <v>0</v>
      </c>
    </row>
    <row r="161" spans="94:94" ht="12" customHeight="1" x14ac:dyDescent="0.45">
      <c r="CP161" s="360">
        <f>Datenbank!H161</f>
        <v>-15</v>
      </c>
    </row>
    <row r="162" spans="94:94" ht="12" customHeight="1" x14ac:dyDescent="0.45">
      <c r="CP162" s="360">
        <f>Datenbank!H162</f>
        <v>-20</v>
      </c>
    </row>
    <row r="163" spans="94:94" ht="12" customHeight="1" x14ac:dyDescent="0.45">
      <c r="CP163" s="360">
        <f>Datenbank!H163</f>
        <v>0</v>
      </c>
    </row>
    <row r="164" spans="94:94" ht="12" customHeight="1" x14ac:dyDescent="0.45">
      <c r="CP164" s="360">
        <f>Datenbank!H164</f>
        <v>0</v>
      </c>
    </row>
    <row r="165" spans="94:94" ht="12" customHeight="1" x14ac:dyDescent="0.45">
      <c r="CP165" s="360">
        <f>Datenbank!H165</f>
        <v>0</v>
      </c>
    </row>
    <row r="166" spans="94:94" ht="12" customHeight="1" x14ac:dyDescent="0.45">
      <c r="CP166" s="360">
        <f>Datenbank!H166</f>
        <v>0</v>
      </c>
    </row>
    <row r="167" spans="94:94" ht="12" customHeight="1" x14ac:dyDescent="0.45">
      <c r="CP167" s="360">
        <f>Datenbank!H167</f>
        <v>0</v>
      </c>
    </row>
    <row r="168" spans="94:94" ht="12" customHeight="1" x14ac:dyDescent="0.45">
      <c r="CP168" s="360">
        <f>Datenbank!H168</f>
        <v>0</v>
      </c>
    </row>
    <row r="169" spans="94:94" ht="12" customHeight="1" x14ac:dyDescent="0.45">
      <c r="CP169" s="360">
        <f>Datenbank!H169</f>
        <v>0</v>
      </c>
    </row>
    <row r="170" spans="94:94" ht="12" customHeight="1" x14ac:dyDescent="0.45">
      <c r="CP170" s="360">
        <f>Datenbank!H170</f>
        <v>0</v>
      </c>
    </row>
    <row r="171" spans="94:94" ht="12" customHeight="1" x14ac:dyDescent="0.45">
      <c r="CP171" s="360">
        <f>Datenbank!H171</f>
        <v>0</v>
      </c>
    </row>
    <row r="172" spans="94:94" ht="12" customHeight="1" x14ac:dyDescent="0.45">
      <c r="CP172" s="360">
        <f>Datenbank!H172</f>
        <v>0</v>
      </c>
    </row>
    <row r="173" spans="94:94" ht="12" customHeight="1" x14ac:dyDescent="0.45">
      <c r="CP173" s="360">
        <f>Datenbank!H173</f>
        <v>0</v>
      </c>
    </row>
    <row r="174" spans="94:94" ht="12" customHeight="1" x14ac:dyDescent="0.45">
      <c r="CP174" s="360">
        <f>Datenbank!H174</f>
        <v>0</v>
      </c>
    </row>
    <row r="175" spans="94:94" ht="12" customHeight="1" x14ac:dyDescent="0.45">
      <c r="CP175" s="360">
        <f>Datenbank!H175</f>
        <v>0</v>
      </c>
    </row>
    <row r="176" spans="94:94" ht="12" customHeight="1" x14ac:dyDescent="0.45">
      <c r="CP176" s="360">
        <f>Datenbank!H176</f>
        <v>0</v>
      </c>
    </row>
    <row r="177" spans="94:94" ht="12" customHeight="1" x14ac:dyDescent="0.45">
      <c r="CP177" s="360">
        <f>Datenbank!H177</f>
        <v>0</v>
      </c>
    </row>
    <row r="178" spans="94:94" ht="12" customHeight="1" x14ac:dyDescent="0.45">
      <c r="CP178" s="360">
        <f>Datenbank!H178</f>
        <v>0</v>
      </c>
    </row>
    <row r="179" spans="94:94" ht="12" customHeight="1" x14ac:dyDescent="0.45">
      <c r="CP179" s="360">
        <f>Datenbank!H179</f>
        <v>0</v>
      </c>
    </row>
    <row r="180" spans="94:94" ht="12" customHeight="1" x14ac:dyDescent="0.45">
      <c r="CP180" s="360" t="e">
        <f>Datenbank!H180</f>
        <v>#N/A</v>
      </c>
    </row>
    <row r="181" spans="94:94" ht="12" customHeight="1" x14ac:dyDescent="0.45">
      <c r="CP181" s="360" t="e">
        <f>Datenbank!H181</f>
        <v>#N/A</v>
      </c>
    </row>
    <row r="182" spans="94:94" ht="12" customHeight="1" x14ac:dyDescent="0.45">
      <c r="CP182" s="360">
        <f>Datenbank!H182</f>
        <v>0</v>
      </c>
    </row>
    <row r="183" spans="94:94" ht="12" customHeight="1" x14ac:dyDescent="0.45">
      <c r="CP183" s="360" t="e">
        <f>Datenbank!H183</f>
        <v>#N/A</v>
      </c>
    </row>
    <row r="184" spans="94:94" ht="12" customHeight="1" x14ac:dyDescent="0.45">
      <c r="CP184" s="360" t="e">
        <f>Datenbank!H184</f>
        <v>#N/A</v>
      </c>
    </row>
    <row r="185" spans="94:94" ht="12" customHeight="1" x14ac:dyDescent="0.45">
      <c r="CP185" s="360">
        <f>Datenbank!H185</f>
        <v>0</v>
      </c>
    </row>
    <row r="186" spans="94:94" ht="12" customHeight="1" x14ac:dyDescent="0.45">
      <c r="CP186" s="360" t="str">
        <f>Datenbank!H186</f>
        <v>Ja</v>
      </c>
    </row>
    <row r="187" spans="94:94" ht="12" customHeight="1" x14ac:dyDescent="0.45">
      <c r="CP187" s="360" t="e">
        <f>Datenbank!H187</f>
        <v>#VALUE!</v>
      </c>
    </row>
    <row r="188" spans="94:94" ht="12" customHeight="1" x14ac:dyDescent="0.45">
      <c r="CP188" s="360">
        <f>Datenbank!H188</f>
        <v>0</v>
      </c>
    </row>
    <row r="189" spans="94:94" ht="12" customHeight="1" x14ac:dyDescent="0.45">
      <c r="CP189" s="360" t="e">
        <f>Datenbank!H189</f>
        <v>#VALUE!</v>
      </c>
    </row>
    <row r="190" spans="94:94" ht="12" customHeight="1" x14ac:dyDescent="0.45">
      <c r="CP190" s="360" t="e">
        <f>Datenbank!H190</f>
        <v>#VALUE!</v>
      </c>
    </row>
    <row r="191" spans="94:94" ht="12" customHeight="1" x14ac:dyDescent="0.45">
      <c r="CP191" s="360" t="e">
        <f>Datenbank!H191</f>
        <v>#VALUE!</v>
      </c>
    </row>
    <row r="192" spans="94:94" ht="12" customHeight="1" x14ac:dyDescent="0.45">
      <c r="CP192" s="360">
        <f>Datenbank!H192</f>
        <v>0</v>
      </c>
    </row>
    <row r="193" spans="94:94" ht="12" customHeight="1" x14ac:dyDescent="0.45">
      <c r="CP193" s="360">
        <f>Datenbank!H193</f>
        <v>0</v>
      </c>
    </row>
    <row r="194" spans="94:94" ht="12" customHeight="1" x14ac:dyDescent="0.45">
      <c r="CP194" s="360" t="e">
        <f>Datenbank!H194</f>
        <v>#N/A</v>
      </c>
    </row>
    <row r="195" spans="94:94" ht="12" customHeight="1" x14ac:dyDescent="0.45">
      <c r="CP195" s="360">
        <f>Datenbank!H195</f>
        <v>0</v>
      </c>
    </row>
    <row r="196" spans="94:94" ht="12" customHeight="1" x14ac:dyDescent="0.45">
      <c r="CP196" s="360">
        <f>Datenbank!H196</f>
        <v>0</v>
      </c>
    </row>
    <row r="197" spans="94:94" ht="12" customHeight="1" x14ac:dyDescent="0.45">
      <c r="CP197" s="360" t="e">
        <f>Datenbank!H197</f>
        <v>#N/A</v>
      </c>
    </row>
    <row r="198" spans="94:94" ht="12" customHeight="1" x14ac:dyDescent="0.45">
      <c r="CP198" s="360" t="e">
        <f>Datenbank!H198</f>
        <v>#N/A</v>
      </c>
    </row>
    <row r="199" spans="94:94" ht="12" customHeight="1" x14ac:dyDescent="0.45">
      <c r="CP199" s="360" t="e">
        <f>Datenbank!H199</f>
        <v>#N/A</v>
      </c>
    </row>
    <row r="200" spans="94:94" ht="12" customHeight="1" x14ac:dyDescent="0.45">
      <c r="CP200" s="360" t="e">
        <f>Datenbank!H200</f>
        <v>#N/A</v>
      </c>
    </row>
    <row r="201" spans="94:94" ht="12" customHeight="1" x14ac:dyDescent="0.45">
      <c r="CP201" s="360" t="e">
        <f>Datenbank!H201</f>
        <v>#N/A</v>
      </c>
    </row>
    <row r="202" spans="94:94" ht="12" customHeight="1" x14ac:dyDescent="0.45">
      <c r="CP202" s="360" t="e">
        <f>Datenbank!H202</f>
        <v>#N/A</v>
      </c>
    </row>
    <row r="203" spans="94:94" ht="12" customHeight="1" x14ac:dyDescent="0.45">
      <c r="CP203" s="360" t="e">
        <f>Datenbank!H203</f>
        <v>#N/A</v>
      </c>
    </row>
    <row r="204" spans="94:94" ht="12" customHeight="1" x14ac:dyDescent="0.45">
      <c r="CP204" s="360" t="e">
        <f>Datenbank!H204</f>
        <v>#N/A</v>
      </c>
    </row>
    <row r="205" spans="94:94" ht="12" customHeight="1" x14ac:dyDescent="0.45">
      <c r="CP205" s="360" t="e">
        <f>Datenbank!H205</f>
        <v>#DIV/0!</v>
      </c>
    </row>
    <row r="206" spans="94:94" ht="12" customHeight="1" x14ac:dyDescent="0.45">
      <c r="CP206" s="360">
        <f>Datenbank!H206</f>
        <v>0</v>
      </c>
    </row>
    <row r="207" spans="94:94" ht="12" customHeight="1" x14ac:dyDescent="0.45">
      <c r="CP207" s="360" t="e">
        <f>Datenbank!H207</f>
        <v>#N/A</v>
      </c>
    </row>
    <row r="208" spans="94:94" ht="12" customHeight="1" x14ac:dyDescent="0.45">
      <c r="CP208" s="360" t="e">
        <f>Datenbank!H208</f>
        <v>#N/A</v>
      </c>
    </row>
    <row r="209" spans="94:94" ht="12" customHeight="1" x14ac:dyDescent="0.45">
      <c r="CP209" s="360">
        <f>Datenbank!H209</f>
        <v>0</v>
      </c>
    </row>
    <row r="210" spans="94:94" ht="12" customHeight="1" x14ac:dyDescent="0.45">
      <c r="CP210" s="360">
        <f>Datenbank!H210</f>
        <v>0</v>
      </c>
    </row>
    <row r="211" spans="94:94" ht="12" customHeight="1" x14ac:dyDescent="0.45">
      <c r="CP211" s="360">
        <f>Datenbank!H211</f>
        <v>0</v>
      </c>
    </row>
    <row r="212" spans="94:94" ht="12" customHeight="1" x14ac:dyDescent="0.45">
      <c r="CP212" s="360">
        <f>Datenbank!H212</f>
        <v>0</v>
      </c>
    </row>
    <row r="213" spans="94:94" ht="12" customHeight="1" x14ac:dyDescent="0.45">
      <c r="CP213" s="360">
        <f>Datenbank!H213</f>
        <v>0</v>
      </c>
    </row>
    <row r="214" spans="94:94" ht="12" customHeight="1" x14ac:dyDescent="0.45">
      <c r="CP214" s="360">
        <f>Datenbank!H214</f>
        <v>0</v>
      </c>
    </row>
    <row r="215" spans="94:94" ht="12" customHeight="1" x14ac:dyDescent="0.45">
      <c r="CP215" s="360">
        <f>Datenbank!H215</f>
        <v>0</v>
      </c>
    </row>
    <row r="216" spans="94:94" ht="12" customHeight="1" x14ac:dyDescent="0.45">
      <c r="CP216" s="360">
        <f>Datenbank!H216</f>
        <v>0</v>
      </c>
    </row>
    <row r="217" spans="94:94" ht="12" customHeight="1" x14ac:dyDescent="0.45">
      <c r="CP217" s="360" t="e">
        <f>Datenbank!H217</f>
        <v>#DIV/0!</v>
      </c>
    </row>
    <row r="218" spans="94:94" ht="12" customHeight="1" x14ac:dyDescent="0.45">
      <c r="CP218" s="360">
        <f>Datenbank!H218</f>
        <v>0</v>
      </c>
    </row>
    <row r="219" spans="94:94" ht="12" customHeight="1" x14ac:dyDescent="0.45">
      <c r="CP219" s="360">
        <f>Datenbank!H219</f>
        <v>0</v>
      </c>
    </row>
    <row r="220" spans="94:94" ht="12" customHeight="1" x14ac:dyDescent="0.45">
      <c r="CP220" s="360">
        <f>Datenbank!H220</f>
        <v>0</v>
      </c>
    </row>
    <row r="221" spans="94:94" ht="12" customHeight="1" x14ac:dyDescent="0.45">
      <c r="CP221" s="360">
        <f>Datenbank!H221</f>
        <v>0</v>
      </c>
    </row>
    <row r="222" spans="94:94" ht="12" customHeight="1" x14ac:dyDescent="0.45">
      <c r="CP222" s="360">
        <f>Datenbank!H222</f>
        <v>0</v>
      </c>
    </row>
    <row r="223" spans="94:94" ht="12" customHeight="1" x14ac:dyDescent="0.45">
      <c r="CP223" s="360">
        <f>Datenbank!H223</f>
        <v>0</v>
      </c>
    </row>
    <row r="224" spans="94:94" ht="12" customHeight="1" x14ac:dyDescent="0.45">
      <c r="CP224" s="360">
        <f>Datenbank!H224</f>
        <v>0</v>
      </c>
    </row>
    <row r="225" spans="94:94" ht="12" customHeight="1" x14ac:dyDescent="0.45">
      <c r="CP225" s="360">
        <f>Datenbank!H225</f>
        <v>0</v>
      </c>
    </row>
    <row r="226" spans="94:94" ht="12" customHeight="1" x14ac:dyDescent="0.45">
      <c r="CP226" s="360">
        <f>Datenbank!H226</f>
        <v>0</v>
      </c>
    </row>
    <row r="227" spans="94:94" ht="12" customHeight="1" x14ac:dyDescent="0.45">
      <c r="CP227" s="360">
        <f>Datenbank!H227</f>
        <v>0</v>
      </c>
    </row>
    <row r="228" spans="94:94" ht="12" customHeight="1" x14ac:dyDescent="0.45">
      <c r="CP228" s="360">
        <f>Datenbank!H228</f>
        <v>0</v>
      </c>
    </row>
    <row r="229" spans="94:94" ht="12" customHeight="1" x14ac:dyDescent="0.45">
      <c r="CP229" s="360">
        <f>Datenbank!H229</f>
        <v>0</v>
      </c>
    </row>
    <row r="230" spans="94:94" ht="12" customHeight="1" x14ac:dyDescent="0.45">
      <c r="CP230" s="360">
        <f>Datenbank!H230</f>
        <v>0</v>
      </c>
    </row>
    <row r="231" spans="94:94" ht="12" customHeight="1" x14ac:dyDescent="0.45">
      <c r="CP231" s="360">
        <f>Datenbank!H231</f>
        <v>0</v>
      </c>
    </row>
    <row r="232" spans="94:94" ht="12" customHeight="1" x14ac:dyDescent="0.45">
      <c r="CP232" s="360">
        <f>Datenbank!H232</f>
        <v>0</v>
      </c>
    </row>
    <row r="233" spans="94:94" ht="12" customHeight="1" x14ac:dyDescent="0.45">
      <c r="CP233" s="360">
        <f>Datenbank!H233</f>
        <v>0</v>
      </c>
    </row>
    <row r="234" spans="94:94" ht="12" customHeight="1" x14ac:dyDescent="0.45">
      <c r="CP234" s="360">
        <f>Datenbank!H234</f>
        <v>0</v>
      </c>
    </row>
    <row r="235" spans="94:94" ht="12" customHeight="1" x14ac:dyDescent="0.45">
      <c r="CP235" s="360">
        <f>Datenbank!H235</f>
        <v>0</v>
      </c>
    </row>
    <row r="236" spans="94:94" ht="12" customHeight="1" x14ac:dyDescent="0.45">
      <c r="CP236" s="360">
        <f>Datenbank!H236</f>
        <v>0</v>
      </c>
    </row>
    <row r="237" spans="94:94" ht="12" customHeight="1" x14ac:dyDescent="0.45">
      <c r="CP237" s="360">
        <f>Datenbank!H237</f>
        <v>0</v>
      </c>
    </row>
    <row r="238" spans="94:94" ht="12" customHeight="1" x14ac:dyDescent="0.45">
      <c r="CP238" s="360">
        <f>Datenbank!H238</f>
        <v>0</v>
      </c>
    </row>
    <row r="239" spans="94:94" ht="12" customHeight="1" x14ac:dyDescent="0.45">
      <c r="CP239" s="360" t="e">
        <f>Datenbank!H239</f>
        <v>#DIV/0!</v>
      </c>
    </row>
    <row r="240" spans="94:94" ht="12" customHeight="1" x14ac:dyDescent="0.45">
      <c r="CP240" s="360" t="e">
        <f>Datenbank!H240</f>
        <v>#DIV/0!</v>
      </c>
    </row>
    <row r="241" spans="94:94" ht="12" customHeight="1" x14ac:dyDescent="0.45">
      <c r="CP241" s="360">
        <f>Datenbank!H241</f>
        <v>0</v>
      </c>
    </row>
    <row r="242" spans="94:94" ht="12" customHeight="1" x14ac:dyDescent="0.45">
      <c r="CP242" s="360">
        <f>Datenbank!H242</f>
        <v>0</v>
      </c>
    </row>
    <row r="243" spans="94:94" ht="12" customHeight="1" x14ac:dyDescent="0.45">
      <c r="CP243" s="360" t="e">
        <f>Datenbank!H243</f>
        <v>#DIV/0!</v>
      </c>
    </row>
    <row r="244" spans="94:94" ht="12" customHeight="1" x14ac:dyDescent="0.45">
      <c r="CP244" s="360">
        <f>Datenbank!H244</f>
        <v>0</v>
      </c>
    </row>
    <row r="245" spans="94:94" ht="12" customHeight="1" x14ac:dyDescent="0.45">
      <c r="CP245" s="360" t="e">
        <f>Datenbank!H245</f>
        <v>#DIV/0!</v>
      </c>
    </row>
    <row r="246" spans="94:94" ht="12" customHeight="1" x14ac:dyDescent="0.45">
      <c r="CP246" s="360" t="e">
        <f>Datenbank!H246</f>
        <v>#DIV/0!</v>
      </c>
    </row>
    <row r="247" spans="94:94" ht="12" customHeight="1" x14ac:dyDescent="0.45">
      <c r="CP247" s="360">
        <f>Datenbank!H247</f>
        <v>0</v>
      </c>
    </row>
    <row r="248" spans="94:94" ht="12" customHeight="1" x14ac:dyDescent="0.45">
      <c r="CP248" s="360">
        <f>Datenbank!H248</f>
        <v>0</v>
      </c>
    </row>
    <row r="249" spans="94:94" ht="12" customHeight="1" x14ac:dyDescent="0.45">
      <c r="CP249" s="360">
        <f>Datenbank!H249</f>
        <v>0</v>
      </c>
    </row>
    <row r="250" spans="94:94" ht="12" customHeight="1" x14ac:dyDescent="0.45">
      <c r="CP250" s="360">
        <f>Datenbank!H250</f>
        <v>0</v>
      </c>
    </row>
    <row r="251" spans="94:94" ht="12" customHeight="1" x14ac:dyDescent="0.45">
      <c r="CP251" s="360">
        <f>Datenbank!H251</f>
        <v>0</v>
      </c>
    </row>
    <row r="252" spans="94:94" ht="12" customHeight="1" x14ac:dyDescent="0.45">
      <c r="CP252" s="360">
        <f>Datenbank!H252</f>
        <v>0</v>
      </c>
    </row>
    <row r="253" spans="94:94" ht="12" customHeight="1" x14ac:dyDescent="0.45">
      <c r="CP253" s="360">
        <f>Datenbank!H253</f>
        <v>0</v>
      </c>
    </row>
    <row r="254" spans="94:94" ht="12" customHeight="1" x14ac:dyDescent="0.45">
      <c r="CP254" s="360">
        <f>Datenbank!H254</f>
        <v>0</v>
      </c>
    </row>
    <row r="255" spans="94:94" ht="12" customHeight="1" x14ac:dyDescent="0.45">
      <c r="CP255" s="360">
        <f>Datenbank!H255</f>
        <v>0</v>
      </c>
    </row>
    <row r="256" spans="94:94" ht="12" customHeight="1" x14ac:dyDescent="0.45">
      <c r="CP256" s="360">
        <f>Datenbank!H256</f>
        <v>0</v>
      </c>
    </row>
    <row r="257" spans="93:95" ht="12" customHeight="1" x14ac:dyDescent="0.45">
      <c r="CP257" s="360">
        <f>Datenbank!H257</f>
        <v>0</v>
      </c>
    </row>
    <row r="258" spans="93:95" ht="12" customHeight="1" x14ac:dyDescent="0.45">
      <c r="CP258" s="360">
        <f>Datenbank!H258</f>
        <v>0</v>
      </c>
    </row>
    <row r="259" spans="93:95" ht="12" customHeight="1" x14ac:dyDescent="0.45">
      <c r="CP259" s="360">
        <f>Datenbank!H259</f>
        <v>0</v>
      </c>
    </row>
    <row r="260" spans="93:95" ht="12" customHeight="1" x14ac:dyDescent="0.45">
      <c r="CP260" s="360">
        <f>Datenbank!H260</f>
        <v>0</v>
      </c>
    </row>
    <row r="261" spans="93:95" ht="12" customHeight="1" x14ac:dyDescent="0.45">
      <c r="CP261" s="360">
        <f>Datenbank!H261</f>
        <v>0</v>
      </c>
    </row>
    <row r="262" spans="93:95" ht="12" customHeight="1" x14ac:dyDescent="0.45">
      <c r="CP262" s="360">
        <f>Datenbank!H262</f>
        <v>0</v>
      </c>
    </row>
    <row r="263" spans="93:95" ht="12" customHeight="1" x14ac:dyDescent="0.45">
      <c r="CO263" s="357"/>
      <c r="CP263" s="357"/>
      <c r="CQ263" s="357"/>
    </row>
    <row r="264" spans="93:95" ht="12" customHeight="1" x14ac:dyDescent="0.45">
      <c r="CO264" s="357"/>
      <c r="CP264" s="357"/>
      <c r="CQ264" s="357"/>
    </row>
    <row r="265" spans="93:95" ht="12" customHeight="1" x14ac:dyDescent="0.45">
      <c r="CO265" s="357"/>
      <c r="CP265" s="357"/>
      <c r="CQ265" s="357"/>
    </row>
    <row r="266" spans="93:95" ht="12" customHeight="1" x14ac:dyDescent="0.45">
      <c r="CO266" s="357"/>
      <c r="CP266" s="357"/>
      <c r="CQ266" s="357"/>
    </row>
    <row r="267" spans="93:95" ht="12" customHeight="1" x14ac:dyDescent="0.45">
      <c r="CO267" s="357"/>
      <c r="CP267" s="357"/>
      <c r="CQ267" s="357"/>
    </row>
    <row r="268" spans="93:95" ht="12" customHeight="1" x14ac:dyDescent="0.45">
      <c r="CO268" s="357"/>
      <c r="CP268" s="357"/>
      <c r="CQ268" s="357"/>
    </row>
    <row r="269" spans="93:95" ht="12" customHeight="1" x14ac:dyDescent="0.45">
      <c r="CO269" s="357"/>
      <c r="CP269" s="357"/>
      <c r="CQ269" s="357"/>
    </row>
    <row r="270" spans="93:95" ht="12" customHeight="1" x14ac:dyDescent="0.45">
      <c r="CO270" s="357"/>
      <c r="CP270" s="357"/>
      <c r="CQ270" s="357"/>
    </row>
    <row r="271" spans="93:95" ht="12" customHeight="1" x14ac:dyDescent="0.45">
      <c r="CO271" s="357"/>
      <c r="CP271" s="357"/>
      <c r="CQ271" s="357"/>
    </row>
    <row r="272" spans="93:95" ht="12" customHeight="1" x14ac:dyDescent="0.45">
      <c r="CO272" s="357"/>
      <c r="CP272" s="357"/>
      <c r="CQ272" s="357"/>
    </row>
    <row r="273" spans="93:95" ht="12" customHeight="1" x14ac:dyDescent="0.45">
      <c r="CO273" s="357"/>
      <c r="CP273" s="357"/>
      <c r="CQ273" s="357"/>
    </row>
    <row r="274" spans="93:95" ht="12" customHeight="1" x14ac:dyDescent="0.45">
      <c r="CO274" s="357"/>
      <c r="CP274" s="357"/>
      <c r="CQ274" s="357"/>
    </row>
    <row r="275" spans="93:95" ht="12" customHeight="1" x14ac:dyDescent="0.45">
      <c r="CO275" s="357"/>
      <c r="CP275" s="357"/>
      <c r="CQ275" s="357"/>
    </row>
    <row r="276" spans="93:95" ht="12" customHeight="1" x14ac:dyDescent="0.45">
      <c r="CO276" s="357"/>
      <c r="CP276" s="357"/>
      <c r="CQ276" s="357"/>
    </row>
    <row r="277" spans="93:95" ht="12" customHeight="1" x14ac:dyDescent="0.45">
      <c r="CO277" s="357"/>
      <c r="CP277" s="357"/>
      <c r="CQ277" s="357"/>
    </row>
    <row r="278" spans="93:95" ht="12" customHeight="1" x14ac:dyDescent="0.45">
      <c r="CO278" s="357"/>
      <c r="CP278" s="357"/>
      <c r="CQ278" s="357"/>
    </row>
    <row r="279" spans="93:95" ht="12" customHeight="1" x14ac:dyDescent="0.45">
      <c r="CO279" s="357"/>
      <c r="CP279" s="357"/>
      <c r="CQ279" s="357"/>
    </row>
    <row r="280" spans="93:95" ht="12" customHeight="1" x14ac:dyDescent="0.45">
      <c r="CO280" s="357"/>
      <c r="CP280" s="357"/>
      <c r="CQ280" s="357"/>
    </row>
    <row r="281" spans="93:95" ht="12" customHeight="1" x14ac:dyDescent="0.45">
      <c r="CO281" s="357"/>
      <c r="CP281" s="357"/>
      <c r="CQ281" s="357"/>
    </row>
    <row r="282" spans="93:95" ht="12" customHeight="1" x14ac:dyDescent="0.45">
      <c r="CO282" s="357"/>
      <c r="CP282" s="357"/>
      <c r="CQ282" s="357"/>
    </row>
    <row r="283" spans="93:95" ht="12" customHeight="1" x14ac:dyDescent="0.45">
      <c r="CO283" s="357"/>
      <c r="CP283" s="357"/>
      <c r="CQ283" s="357"/>
    </row>
    <row r="284" spans="93:95" ht="12" customHeight="1" x14ac:dyDescent="0.45">
      <c r="CO284" s="357"/>
      <c r="CP284" s="357"/>
      <c r="CQ284" s="357"/>
    </row>
    <row r="285" spans="93:95" ht="12" customHeight="1" x14ac:dyDescent="0.45">
      <c r="CO285" s="357"/>
      <c r="CP285" s="357"/>
      <c r="CQ285" s="357"/>
    </row>
    <row r="286" spans="93:95" ht="12" customHeight="1" x14ac:dyDescent="0.45">
      <c r="CO286" s="357"/>
      <c r="CP286" s="357"/>
      <c r="CQ286" s="357"/>
    </row>
    <row r="287" spans="93:95" ht="12" customHeight="1" x14ac:dyDescent="0.45">
      <c r="CO287" s="357"/>
      <c r="CP287" s="357"/>
      <c r="CQ287" s="357"/>
    </row>
    <row r="288" spans="93:95" ht="12" customHeight="1" x14ac:dyDescent="0.45">
      <c r="CO288" s="357"/>
      <c r="CP288" s="357"/>
      <c r="CQ288" s="357"/>
    </row>
    <row r="289" spans="93:95" ht="12" customHeight="1" x14ac:dyDescent="0.45">
      <c r="CO289" s="357"/>
      <c r="CP289" s="357"/>
      <c r="CQ289" s="357"/>
    </row>
    <row r="290" spans="93:95" ht="12" customHeight="1" x14ac:dyDescent="0.45">
      <c r="CO290" s="357"/>
      <c r="CP290" s="357"/>
      <c r="CQ290" s="357"/>
    </row>
    <row r="291" spans="93:95" ht="12" customHeight="1" x14ac:dyDescent="0.45">
      <c r="CO291" s="357"/>
      <c r="CP291" s="357"/>
      <c r="CQ291" s="357"/>
    </row>
    <row r="292" spans="93:95" ht="12" customHeight="1" x14ac:dyDescent="0.45">
      <c r="CO292" s="357"/>
      <c r="CP292" s="357"/>
      <c r="CQ292" s="357"/>
    </row>
    <row r="293" spans="93:95" ht="12" customHeight="1" x14ac:dyDescent="0.45">
      <c r="CO293" s="357"/>
      <c r="CP293" s="357"/>
      <c r="CQ293" s="357"/>
    </row>
    <row r="294" spans="93:95" ht="12" customHeight="1" x14ac:dyDescent="0.45">
      <c r="CO294" s="357"/>
      <c r="CP294" s="357"/>
      <c r="CQ294" s="357"/>
    </row>
    <row r="295" spans="93:95" ht="12" customHeight="1" x14ac:dyDescent="0.45">
      <c r="CO295" s="357"/>
      <c r="CP295" s="357"/>
      <c r="CQ295" s="357"/>
    </row>
    <row r="296" spans="93:95" ht="12" customHeight="1" x14ac:dyDescent="0.45">
      <c r="CO296" s="357"/>
      <c r="CP296" s="357"/>
      <c r="CQ296" s="357"/>
    </row>
    <row r="297" spans="93:95" ht="12" customHeight="1" x14ac:dyDescent="0.45">
      <c r="CO297" s="357"/>
      <c r="CP297" s="357"/>
      <c r="CQ297" s="357"/>
    </row>
    <row r="298" spans="93:95" ht="12" customHeight="1" x14ac:dyDescent="0.45">
      <c r="CO298" s="357"/>
      <c r="CP298" s="357"/>
      <c r="CQ298" s="357"/>
    </row>
    <row r="299" spans="93:95" ht="12" customHeight="1" x14ac:dyDescent="0.45">
      <c r="CO299" s="357"/>
      <c r="CP299" s="357"/>
      <c r="CQ299" s="357"/>
    </row>
    <row r="300" spans="93:95" ht="12" customHeight="1" x14ac:dyDescent="0.45">
      <c r="CO300" s="357"/>
      <c r="CP300" s="357"/>
      <c r="CQ300" s="357"/>
    </row>
    <row r="301" spans="93:95" ht="12" customHeight="1" x14ac:dyDescent="0.45">
      <c r="CO301" s="357"/>
      <c r="CP301" s="357"/>
      <c r="CQ301" s="357"/>
    </row>
    <row r="302" spans="93:95" ht="12" customHeight="1" x14ac:dyDescent="0.45">
      <c r="CO302" s="357"/>
      <c r="CP302" s="357"/>
      <c r="CQ302" s="357"/>
    </row>
    <row r="303" spans="93:95" ht="12" customHeight="1" x14ac:dyDescent="0.45">
      <c r="CO303" s="357"/>
      <c r="CP303" s="357"/>
      <c r="CQ303" s="357"/>
    </row>
    <row r="304" spans="93:95" ht="12" customHeight="1" x14ac:dyDescent="0.45">
      <c r="CO304" s="357"/>
      <c r="CP304" s="357"/>
      <c r="CQ304" s="357"/>
    </row>
    <row r="305" spans="93:95" ht="12" customHeight="1" x14ac:dyDescent="0.45">
      <c r="CO305" s="357"/>
      <c r="CP305" s="357"/>
      <c r="CQ305" s="357"/>
    </row>
    <row r="306" spans="93:95" ht="12" customHeight="1" x14ac:dyDescent="0.45">
      <c r="CO306" s="357"/>
      <c r="CP306" s="357"/>
      <c r="CQ306" s="357"/>
    </row>
    <row r="307" spans="93:95" ht="12" customHeight="1" x14ac:dyDescent="0.45">
      <c r="CO307" s="357"/>
      <c r="CP307" s="357"/>
      <c r="CQ307" s="357"/>
    </row>
    <row r="308" spans="93:95" ht="12" customHeight="1" x14ac:dyDescent="0.45">
      <c r="CO308" s="357"/>
      <c r="CP308" s="357"/>
      <c r="CQ308" s="357"/>
    </row>
    <row r="309" spans="93:95" ht="12" customHeight="1" x14ac:dyDescent="0.45">
      <c r="CO309" s="357"/>
      <c r="CP309" s="357"/>
      <c r="CQ309" s="357"/>
    </row>
    <row r="310" spans="93:95" ht="12" customHeight="1" x14ac:dyDescent="0.45">
      <c r="CO310" s="357"/>
      <c r="CP310" s="357"/>
      <c r="CQ310" s="357"/>
    </row>
    <row r="311" spans="93:95" ht="12" customHeight="1" x14ac:dyDescent="0.45">
      <c r="CO311" s="357"/>
      <c r="CP311" s="357"/>
      <c r="CQ311" s="357"/>
    </row>
    <row r="312" spans="93:95" ht="12" customHeight="1" x14ac:dyDescent="0.45">
      <c r="CO312" s="357"/>
      <c r="CP312" s="357"/>
      <c r="CQ312" s="357"/>
    </row>
    <row r="313" spans="93:95" ht="12" customHeight="1" x14ac:dyDescent="0.45">
      <c r="CO313" s="357"/>
      <c r="CP313" s="357"/>
      <c r="CQ313" s="357"/>
    </row>
    <row r="314" spans="93:95" ht="12" customHeight="1" x14ac:dyDescent="0.45">
      <c r="CO314" s="357"/>
      <c r="CP314" s="357"/>
      <c r="CQ314" s="357"/>
    </row>
    <row r="315" spans="93:95" ht="12" customHeight="1" x14ac:dyDescent="0.45">
      <c r="CO315" s="357"/>
      <c r="CP315" s="357"/>
      <c r="CQ315" s="357"/>
    </row>
    <row r="316" spans="93:95" ht="12" customHeight="1" x14ac:dyDescent="0.45">
      <c r="CO316" s="357"/>
      <c r="CP316" s="357"/>
      <c r="CQ316" s="357"/>
    </row>
    <row r="317" spans="93:95" ht="12" customHeight="1" x14ac:dyDescent="0.45">
      <c r="CO317" s="357"/>
      <c r="CP317" s="357"/>
      <c r="CQ317" s="357"/>
    </row>
    <row r="318" spans="93:95" ht="12" customHeight="1" x14ac:dyDescent="0.45">
      <c r="CO318" s="357"/>
      <c r="CP318" s="357"/>
      <c r="CQ318" s="357"/>
    </row>
    <row r="319" spans="93:95" ht="12" customHeight="1" x14ac:dyDescent="0.45">
      <c r="CO319" s="357"/>
      <c r="CP319" s="357"/>
      <c r="CQ319" s="357"/>
    </row>
    <row r="320" spans="93:95" ht="12" customHeight="1" x14ac:dyDescent="0.45">
      <c r="CO320" s="357"/>
      <c r="CP320" s="357"/>
      <c r="CQ320" s="357"/>
    </row>
    <row r="321" spans="93:95" ht="12" customHeight="1" x14ac:dyDescent="0.45">
      <c r="CO321" s="357"/>
      <c r="CP321" s="357"/>
      <c r="CQ321" s="357"/>
    </row>
    <row r="322" spans="93:95" ht="12" customHeight="1" x14ac:dyDescent="0.45">
      <c r="CO322" s="357"/>
      <c r="CP322" s="357"/>
      <c r="CQ322" s="357"/>
    </row>
    <row r="323" spans="93:95" ht="12" customHeight="1" x14ac:dyDescent="0.45">
      <c r="CO323" s="357"/>
      <c r="CP323" s="357"/>
      <c r="CQ323" s="357"/>
    </row>
    <row r="324" spans="93:95" ht="12" customHeight="1" x14ac:dyDescent="0.45">
      <c r="CO324" s="357"/>
      <c r="CP324" s="357"/>
      <c r="CQ324" s="357"/>
    </row>
    <row r="325" spans="93:95" ht="12" customHeight="1" x14ac:dyDescent="0.45">
      <c r="CO325" s="357"/>
      <c r="CP325" s="357"/>
      <c r="CQ325" s="357"/>
    </row>
  </sheetData>
  <sheetProtection algorithmName="SHA-512" hashValue="vJ6KLlCfCInA81MVAq0IX029epgGFfKa1rOFmgEDyzP5Ml8Ww9ivaysIK4w8nZjg8cIPjbGmoVVUE0M8w/hH5g==" saltValue="XmmNb4lKT1MTAbIkM7zeOA==" spinCount="100000" sheet="1" objects="1" scenarios="1"/>
  <mergeCells count="100">
    <mergeCell ref="D58:E58"/>
    <mergeCell ref="AA11:AD11"/>
    <mergeCell ref="AA12:AD12"/>
    <mergeCell ref="N11:Q11"/>
    <mergeCell ref="AA17:AD17"/>
    <mergeCell ref="AA13:AD13"/>
    <mergeCell ref="AA14:AD14"/>
    <mergeCell ref="C51:D51"/>
    <mergeCell ref="AC37:AG37"/>
    <mergeCell ref="AC35:AF35"/>
    <mergeCell ref="B46:R49"/>
    <mergeCell ref="G9:K9"/>
    <mergeCell ref="G10:K10"/>
    <mergeCell ref="G11:K11"/>
    <mergeCell ref="G12:K12"/>
    <mergeCell ref="G13:K13"/>
    <mergeCell ref="AV27:AW27"/>
    <mergeCell ref="AV26:AW26"/>
    <mergeCell ref="AV25:AW25"/>
    <mergeCell ref="AV24:AW24"/>
    <mergeCell ref="AV23:AW23"/>
    <mergeCell ref="AV13:AW13"/>
    <mergeCell ref="AV22:AW22"/>
    <mergeCell ref="AV21:AW21"/>
    <mergeCell ref="AV20:AW20"/>
    <mergeCell ref="AV19:AW19"/>
    <mergeCell ref="AV18:AW18"/>
    <mergeCell ref="AR26:AT26"/>
    <mergeCell ref="AV17:AW17"/>
    <mergeCell ref="AV16:AW16"/>
    <mergeCell ref="AV15:AW15"/>
    <mergeCell ref="AV14:AW14"/>
    <mergeCell ref="AR15:AT15"/>
    <mergeCell ref="AR14:AT14"/>
    <mergeCell ref="AR25:AT25"/>
    <mergeCell ref="AR24:AT24"/>
    <mergeCell ref="AR23:AT23"/>
    <mergeCell ref="AR13:AT13"/>
    <mergeCell ref="AR22:AT22"/>
    <mergeCell ref="AR21:AT21"/>
    <mergeCell ref="AR20:AT20"/>
    <mergeCell ref="AR19:AT19"/>
    <mergeCell ref="AR18:AT18"/>
    <mergeCell ref="AR17:AT17"/>
    <mergeCell ref="AR16:AT16"/>
    <mergeCell ref="AY64:BC64"/>
    <mergeCell ref="AY63:BC63"/>
    <mergeCell ref="AY62:BC62"/>
    <mergeCell ref="AY61:BC61"/>
    <mergeCell ref="AY60:BC60"/>
    <mergeCell ref="AY59:BC59"/>
    <mergeCell ref="BJ14:BX14"/>
    <mergeCell ref="BP49:BX49"/>
    <mergeCell ref="BP42:BX42"/>
    <mergeCell ref="BQ28:BX28"/>
    <mergeCell ref="BL26:BT26"/>
    <mergeCell ref="BL25:BT25"/>
    <mergeCell ref="AY58:BC58"/>
    <mergeCell ref="AY57:BC57"/>
    <mergeCell ref="AY56:BC56"/>
    <mergeCell ref="AY55:BC55"/>
    <mergeCell ref="AY54:BC54"/>
    <mergeCell ref="AY53:BC53"/>
    <mergeCell ref="AY52:BC52"/>
    <mergeCell ref="AY51:BC51"/>
    <mergeCell ref="AY50:BC50"/>
    <mergeCell ref="AR32:AT32"/>
    <mergeCell ref="AY49:BC49"/>
    <mergeCell ref="AY48:BC48"/>
    <mergeCell ref="AY47:BC47"/>
    <mergeCell ref="AY46:BC46"/>
    <mergeCell ref="AY45:BC45"/>
    <mergeCell ref="G51:Q51"/>
    <mergeCell ref="AC36:AG36"/>
    <mergeCell ref="AA16:AF16"/>
    <mergeCell ref="N20:Q20"/>
    <mergeCell ref="G22:K22"/>
    <mergeCell ref="N19:Q19"/>
    <mergeCell ref="N21:Q21"/>
    <mergeCell ref="G17:K17"/>
    <mergeCell ref="G18:K18"/>
    <mergeCell ref="G19:K19"/>
    <mergeCell ref="G20:K20"/>
    <mergeCell ref="G21:K21"/>
    <mergeCell ref="AR27:AT27"/>
    <mergeCell ref="AI37:AM37"/>
    <mergeCell ref="AI35:AM35"/>
    <mergeCell ref="D40:E40"/>
    <mergeCell ref="BQ12:BR12"/>
    <mergeCell ref="AC38:AK38"/>
    <mergeCell ref="AR31:AT31"/>
    <mergeCell ref="AR30:AT30"/>
    <mergeCell ref="AR29:AT29"/>
    <mergeCell ref="AR28:AT28"/>
    <mergeCell ref="AV36:AY36"/>
    <mergeCell ref="AV32:AW32"/>
    <mergeCell ref="AV31:AW31"/>
    <mergeCell ref="AV30:AW30"/>
    <mergeCell ref="AV29:AW29"/>
    <mergeCell ref="AV28:AW28"/>
  </mergeCells>
  <phoneticPr fontId="7" type="noConversion"/>
  <dataValidations count="1">
    <dataValidation allowBlank="1" showInputMessage="1" sqref="AI34" xr:uid="{DEBA9BAF-FE41-468A-A539-928D0CA038A1}"/>
  </dataValidations>
  <pageMargins left="0.39370078740157483" right="0.39370078740157483" top="0.78740157480314965" bottom="0.19685039370078741" header="0.31496062992125984" footer="0.31496062992125984"/>
  <pageSetup paperSize="9" scale="86" fitToWidth="0" fitToHeight="0" orientation="portrait" horizontalDpi="2400" verticalDpi="2400" r:id="rId1"/>
  <headerFooter>
    <oddFooter>&amp;L&amp;"Calibri,Standard"&amp;6&amp;K000000&amp;F&amp;R&amp;"Calibri,Standard"&amp;6&amp;K000000&amp;D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3">
              <controlPr locked="0" defaultSize="0" autoLine="0" autoPict="0">
                <anchor>
                  <from>
                    <xdr:col>14</xdr:col>
                    <xdr:colOff>21771</xdr:colOff>
                    <xdr:row>1</xdr:row>
                    <xdr:rowOff>10886</xdr:rowOff>
                  </from>
                  <to>
                    <xdr:col>17</xdr:col>
                    <xdr:colOff>87086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equal" id="{E2B49DB5-EE8F-4AD9-884E-E57F4759D90A}">
            <xm:f>Text!$C$33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60" operator="equal" id="{443705EE-8D44-4C98-89C4-A92DF5D69675}">
            <xm:f>Text!$C$32</xm:f>
            <x14:dxf>
              <font>
                <b/>
                <i val="0"/>
                <strike val="0"/>
                <color rgb="FF00B050"/>
              </font>
            </x14:dxf>
          </x14:cfRule>
          <xm:sqref>G26</xm:sqref>
        </x14:conditionalFormatting>
        <x14:conditionalFormatting xmlns:xm="http://schemas.microsoft.com/office/excel/2006/main">
          <x14:cfRule type="cellIs" priority="59" operator="equal" id="{3E6847B6-C8BD-4979-9237-53A88BF8BC48}">
            <xm:f>Text!$C$35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8" operator="equal" id="{B89D683F-C36D-480E-84BE-CA9036BFB5DE}">
            <xm:f>Text!$C$34</xm:f>
            <x14:dxf>
              <font>
                <b/>
                <i val="0"/>
                <strike val="0"/>
                <color rgb="FF00B050"/>
              </font>
            </x14:dxf>
          </x14:cfRule>
          <xm:sqref>G27</xm:sqref>
        </x14:conditionalFormatting>
        <x14:conditionalFormatting xmlns:xm="http://schemas.microsoft.com/office/excel/2006/main">
          <x14:cfRule type="cellIs" priority="57" operator="equal" id="{B969D276-A87E-4CED-A1E4-B31AABCD344E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6" operator="equal" id="{450386FC-4736-4177-9495-DABD8E2482BB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5" operator="equal" id="{349B1CE3-4A34-4D5B-BCCE-ED184881AEE0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m:sqref>G28</xm:sqref>
        </x14:conditionalFormatting>
        <x14:conditionalFormatting xmlns:xm="http://schemas.microsoft.com/office/excel/2006/main">
          <x14:cfRule type="cellIs" priority="54" operator="equal" id="{520DFE09-D77E-4D1A-A01E-DF7308D73EC3}">
            <xm:f>Text!$C$40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3" operator="equal" id="{CA0C6E8C-2715-4385-AFB9-46B8ACE08339}">
            <xm:f>Text!$C$39</xm:f>
            <x14:dxf>
              <font>
                <b/>
                <i val="0"/>
                <strike val="0"/>
                <color rgb="FF00B050"/>
              </font>
            </x14:dxf>
          </x14:cfRule>
          <xm:sqref>G29</xm:sqref>
        </x14:conditionalFormatting>
        <x14:conditionalFormatting xmlns:xm="http://schemas.microsoft.com/office/excel/2006/main">
          <x14:cfRule type="cellIs" priority="11" operator="equal" id="{140B4A54-F3E6-4F48-A1D6-DF91FDC5C7B6}">
            <xm:f>Text!$C$44</xm:f>
            <x14:dxf>
              <font>
                <b/>
                <i val="0"/>
                <strike val="0"/>
                <color rgb="FF00B050"/>
              </font>
            </x14:dxf>
          </x14:cfRule>
          <xm:sqref>G29:G30</xm:sqref>
        </x14:conditionalFormatting>
        <x14:conditionalFormatting xmlns:xm="http://schemas.microsoft.com/office/excel/2006/main">
          <x14:cfRule type="cellIs" priority="52" operator="equal" id="{76B153C8-9C37-4E37-8A17-ABE60C7D837B}">
            <xm:f>Text!$C$43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1" operator="equal" id="{6391E97C-4B3A-4342-B3EF-2D662C53D213}">
            <xm:f>Text!$C$42</xm:f>
            <x14:dxf>
              <font>
                <b/>
                <i val="0"/>
                <strike val="0"/>
                <color rgb="FF00B050"/>
              </font>
            </x14:dxf>
          </x14:cfRule>
          <xm:sqref>G30</xm:sqref>
        </x14:conditionalFormatting>
        <x14:conditionalFormatting xmlns:xm="http://schemas.microsoft.com/office/excel/2006/main">
          <x14:cfRule type="cellIs" priority="13" operator="equal" id="{B5501046-0433-4823-A99E-11FF46F99F02}">
            <xm:f>Text!$C$47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0" operator="equal" id="{53303F3D-CA6A-4617-B59E-E5CAB5CEB6F5}">
            <xm:f>Text!$C$46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9" operator="equal" id="{DE1F7F43-0BF8-4129-9F18-A92DE9127A0E}">
            <xm:f>Text!$C$45</xm:f>
            <x14:dxf>
              <font>
                <b/>
                <i val="0"/>
                <strike val="0"/>
                <color rgb="FF00B050"/>
              </font>
            </x14:dxf>
          </x14:cfRule>
          <xm:sqref>G31</xm:sqref>
        </x14:conditionalFormatting>
        <x14:conditionalFormatting xmlns:xm="http://schemas.microsoft.com/office/excel/2006/main">
          <x14:cfRule type="cellIs" priority="83" operator="equal" id="{2CF43398-1808-49B8-9AF8-CA7A206AE736}">
            <xm:f>Text!$C$48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4" operator="equal" id="{5762C1A0-7513-4A3C-B30D-18E86578F08B}">
            <xm:f>Text!$C$49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14" operator="equal" id="{B3F39EA3-3D15-461D-909C-B8988169E891}">
            <xm:f>Text!$C$50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82" operator="equal" id="{4AECE2B3-BF1E-43BF-9B22-FBD1E51A1EF6}">
            <xm:f>Text!$C$51</xm:f>
            <x14:dxf>
              <font>
                <b/>
                <i val="0"/>
                <strike val="0"/>
                <color rgb="FFFF0000"/>
              </font>
            </x14:dxf>
          </x14:cfRule>
          <xm:sqref>G32</xm:sqref>
        </x14:conditionalFormatting>
        <x14:conditionalFormatting xmlns:xm="http://schemas.microsoft.com/office/excel/2006/main">
          <x14:cfRule type="cellIs" priority="25" operator="equal" id="{AE578A1C-16C8-444E-A243-39B420E88B09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46" operator="equal" id="{CC886D0F-0E11-4F5A-9922-0B280C977AAE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45" operator="equal" id="{9A094217-220A-4083-AECA-2DDB55E80435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4" operator="equal" id="{700AEC35-6F0D-4C84-BC03-1B25489E6A8C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3" operator="equal" id="{DE7DB387-6F41-4522-9158-E327EEA755E8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G33</xm:sqref>
        </x14:conditionalFormatting>
        <x14:conditionalFormatting xmlns:xm="http://schemas.microsoft.com/office/excel/2006/main">
          <x14:cfRule type="expression" priority="32" id="{36F68A4E-22D0-4B90-B5BC-362B09E06A0B}">
            <xm:f>$N$20=Text!$C$21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N21:Q21</xm:sqref>
        </x14:conditionalFormatting>
        <x14:conditionalFormatting xmlns:xm="http://schemas.microsoft.com/office/excel/2006/main">
          <x14:cfRule type="cellIs" priority="10" operator="equal" id="{DC6676AA-94EE-49C5-9729-606485CD3BDD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9" operator="equal" id="{773916D6-E9DD-4A64-A34F-4B24A6E97BCE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R6:R7</xm:sqref>
        </x14:conditionalFormatting>
        <x14:conditionalFormatting xmlns:xm="http://schemas.microsoft.com/office/excel/2006/main">
          <x14:cfRule type="expression" priority="27" id="{4809DE9C-0C2C-4E55-B426-CA3654D1E251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V39 V41</xm:sqref>
        </x14:conditionalFormatting>
        <x14:conditionalFormatting xmlns:xm="http://schemas.microsoft.com/office/excel/2006/main">
          <x14:cfRule type="expression" priority="15" id="{1751E4DB-B9EC-45CA-B93F-6257CCC75C48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W39:W40</xm:sqref>
        </x14:conditionalFormatting>
        <x14:conditionalFormatting xmlns:xm="http://schemas.microsoft.com/office/excel/2006/main">
          <x14:cfRule type="expression" priority="26" id="{A5C53722-B0ED-40D6-8A08-CD12D422F290}">
            <xm:f>$AA$16=Text!$C$108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AA17:AD17</xm:sqref>
        </x14:conditionalFormatting>
        <x14:conditionalFormatting xmlns:xm="http://schemas.microsoft.com/office/excel/2006/main">
          <x14:cfRule type="expression" priority="17" id="{B9C478EC-6027-4D02-B048-ADB7D5F9D064}">
            <xm:f>$AC$35=Dropdown!$A$46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AI35</xm:sqref>
        </x14:conditionalFormatting>
        <x14:conditionalFormatting xmlns:xm="http://schemas.microsoft.com/office/excel/2006/main">
          <x14:cfRule type="expression" priority="24" id="{D9384F52-DAAA-49CE-8C7D-DB2CC12E27D3}">
            <xm:f>$AC$37=Text!$C$138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AI37:AM37</xm:sqref>
        </x14:conditionalFormatting>
        <x14:conditionalFormatting xmlns:xm="http://schemas.microsoft.com/office/excel/2006/main">
          <x14:cfRule type="cellIs" priority="8" operator="equal" id="{BFA3BA5E-900A-4139-A952-46216FCB1E4A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" operator="equal" id="{26FBD412-6C45-4C4F-A50C-7512B0CF94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AM6:AM7</xm:sqref>
        </x14:conditionalFormatting>
        <x14:conditionalFormatting xmlns:xm="http://schemas.microsoft.com/office/excel/2006/main">
          <x14:cfRule type="cellIs" priority="71" operator="equal" id="{8B0F94EF-B0F6-443F-83EB-3329F46194F4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2" operator="equal" id="{9BC0B800-4443-45BC-A06F-87E2ECEFBD19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m:sqref>AX45:AX64</xm:sqref>
        </x14:conditionalFormatting>
        <x14:conditionalFormatting xmlns:xm="http://schemas.microsoft.com/office/excel/2006/main">
          <x14:cfRule type="expression" priority="38" id="{2BB055F7-A01A-4415-91A0-1F02FF2842C9}">
            <xm:f>AX45=Dropdown!$A$20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AY45:BC64</xm:sqref>
        </x14:conditionalFormatting>
        <x14:conditionalFormatting xmlns:xm="http://schemas.microsoft.com/office/excel/2006/main">
          <x14:cfRule type="cellIs" priority="6" operator="equal" id="{C16B79F4-FF9E-4464-A44E-5B903A76883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" operator="equal" id="{0E7F418E-7538-47EF-9E04-4164F19ACD52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BC6:BC7</xm:sqref>
        </x14:conditionalFormatting>
        <x14:conditionalFormatting xmlns:xm="http://schemas.microsoft.com/office/excel/2006/main">
          <x14:cfRule type="expression" priority="19" id="{295BE98F-F917-48FB-90A9-C84FD1A9A187}">
            <xm:f>$AC$33=Dropdown!$A$19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BH12 BP12:BR12</xm:sqref>
        </x14:conditionalFormatting>
        <x14:conditionalFormatting xmlns:xm="http://schemas.microsoft.com/office/excel/2006/main">
          <x14:cfRule type="expression" priority="37" id="{16101F68-4ADD-424A-B0A1-6A4FC011598E}">
            <xm:f>$BI$14=Text!$C$203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BJ14:BX14</xm:sqref>
        </x14:conditionalFormatting>
        <x14:conditionalFormatting xmlns:xm="http://schemas.microsoft.com/office/excel/2006/main">
          <x14:cfRule type="expression" priority="36" id="{BD23DAF7-BCDA-4F35-B387-0FF7021079CB}">
            <xm:f>$AC$36=Dropdown!$A$41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BL22</xm:sqref>
        </x14:conditionalFormatting>
        <x14:conditionalFormatting xmlns:xm="http://schemas.microsoft.com/office/excel/2006/main">
          <x14:cfRule type="cellIs" priority="73" operator="equal" id="{679282D2-CC4C-4C66-810B-34F806791969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4" operator="equal" id="{004BC750-310B-4429-9933-73E832101A74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5" operator="equal" id="{358FD393-6BD5-4F76-9746-FE8980B2C164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m:sqref>BL28</xm:sqref>
        </x14:conditionalFormatting>
        <x14:conditionalFormatting xmlns:xm="http://schemas.microsoft.com/office/excel/2006/main">
          <x14:cfRule type="expression" priority="29" id="{E54B4173-389A-4357-83A0-AE10CA5CB5EB}">
            <xm:f>$BL$28=Dropdown!$A$77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expression" priority="30" id="{BCBAB343-4AD9-4865-84DF-A8AAC588BE8B}">
            <xm:f>$BL$28=Dropdown!$A$76</xm:f>
            <x14:dxf>
              <font>
                <strike val="0"/>
                <color rgb="FF00B050"/>
              </font>
            </x14:dxf>
          </x14:cfRule>
          <x14:cfRule type="expression" priority="28" id="{E56B2583-22B9-4224-BDB7-30E017AB6B8D}">
            <xm:f>$BL$28=Dropdown!$A$78</xm:f>
            <x14:dxf>
              <font>
                <b/>
                <i val="0"/>
                <strike val="0"/>
                <color rgb="FFFF0000"/>
              </font>
            </x14:dxf>
          </x14:cfRule>
          <xm:sqref>BL29</xm:sqref>
        </x14:conditionalFormatting>
        <x14:conditionalFormatting xmlns:xm="http://schemas.microsoft.com/office/excel/2006/main">
          <x14:cfRule type="cellIs" priority="80" operator="equal" id="{1B4408AA-26E4-4BE0-AD82-23DEFED9820F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1" operator="equal" id="{28CBBD54-190C-4977-89FD-815A5A8B91AC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m:sqref>BL42 BL49 BI50</xm:sqref>
        </x14:conditionalFormatting>
        <x14:conditionalFormatting xmlns:xm="http://schemas.microsoft.com/office/excel/2006/main">
          <x14:cfRule type="cellIs" priority="31" operator="equal" id="{25938A98-9205-46D0-BA32-B587E669478A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7" operator="equal" id="{E4271095-4D3B-45C4-ADF9-354D29386711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78" operator="equal" id="{665BD23E-FD7C-4439-8D7D-CA05681A1C1B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9" operator="equal" id="{5C183725-6EB5-4826-8222-CA71EA85A7CB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6" operator="equal" id="{CE316D0B-B79D-4914-881B-DFB8B5FAA4EE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BL57</xm:sqref>
        </x14:conditionalFormatting>
        <x14:conditionalFormatting xmlns:xm="http://schemas.microsoft.com/office/excel/2006/main">
          <x14:cfRule type="expression" priority="18" id="{A68C3063-A399-4347-8E7A-2D4FE80423ED}">
            <xm:f>$BL$19=Dropdown!$A$19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BL25:BT26</xm:sqref>
        </x14:conditionalFormatting>
        <x14:conditionalFormatting xmlns:xm="http://schemas.microsoft.com/office/excel/2006/main">
          <x14:cfRule type="cellIs" priority="22" operator="equal" id="{5A4331C6-A71B-475D-84B8-379A83FF64E6}">
            <xm:f>Text!$C$280</xm:f>
            <x14:dxf>
              <font>
                <b/>
                <i val="0"/>
                <strike val="0"/>
                <color rgb="FFFF0000"/>
              </font>
            </x14:dxf>
          </x14:cfRule>
          <xm:sqref>BO49:BO50 BP50:BY50</xm:sqref>
        </x14:conditionalFormatting>
        <x14:conditionalFormatting xmlns:xm="http://schemas.microsoft.com/office/excel/2006/main">
          <x14:cfRule type="expression" priority="34" id="{C44D6F02-16FF-421D-B562-5687012C4B1A}">
            <xm:f>$BO$42=Text!$C$203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BP42:BX42</xm:sqref>
        </x14:conditionalFormatting>
        <x14:conditionalFormatting xmlns:xm="http://schemas.microsoft.com/office/excel/2006/main">
          <x14:cfRule type="expression" priority="33" id="{561ABA03-FB66-47F1-A7F9-20055533D19C}">
            <xm:f>$BO$49=Text!$C$203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BP49:BX49</xm:sqref>
        </x14:conditionalFormatting>
        <x14:conditionalFormatting xmlns:xm="http://schemas.microsoft.com/office/excel/2006/main">
          <x14:cfRule type="expression" priority="35" id="{B0E319A3-7A57-4DDB-BB56-922D4CDFDED5}">
            <xm:f>$BP$28=Text!$C$203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BQ28:BX28</xm:sqref>
        </x14:conditionalFormatting>
        <x14:conditionalFormatting xmlns:xm="http://schemas.microsoft.com/office/excel/2006/main">
          <x14:cfRule type="cellIs" priority="4" operator="equal" id="{67BD1A77-8D81-40EB-9CFA-7BB964C0D6EE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3" operator="equal" id="{9366BE15-EF0D-406F-82A5-63D0D17D37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BX6:BX7</xm:sqref>
        </x14:conditionalFormatting>
        <x14:conditionalFormatting xmlns:xm="http://schemas.microsoft.com/office/excel/2006/main">
          <x14:cfRule type="cellIs" priority="1" operator="equal" id="{7B648E31-CCB1-487F-954E-BA9F285A9C05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2" operator="equal" id="{FAD2FA7A-7C19-4E95-A0CC-03D39AA5852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m:sqref>CM6:CM7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Dropdown!$A$2:$A$6</xm:f>
          </x14:formula1>
          <xm:sqref>N20</xm:sqref>
        </x14:dataValidation>
        <x14:dataValidation type="list" allowBlank="1" showInputMessage="1" showErrorMessage="1" xr:uid="{11D50D7B-C1D5-4ECB-B0C3-EF401F7C04BD}">
          <x14:formula1>
            <xm:f>Dropdown!$A$19:$A$20</xm:f>
          </x14:formula1>
          <xm:sqref>AC33:AC34 BL19 AY13:AY32</xm:sqref>
        </x14:dataValidation>
        <x14:dataValidation type="list" allowBlank="1" showInputMessage="1" showErrorMessage="1" xr:uid="{4C78C8F8-AADE-49B6-993E-396EBAF09441}">
          <x14:formula1>
            <xm:f>Dropdown!$A$29:$A$31</xm:f>
          </x14:formula1>
          <xm:sqref>AA14</xm:sqref>
        </x14:dataValidation>
        <x14:dataValidation type="list" allowBlank="1" showInputMessage="1" showErrorMessage="1" xr:uid="{AD9A3036-0C58-4DEF-ABAD-BF1EB3FB5B77}">
          <x14:formula1>
            <xm:f>Dropdown!$A$40:$A$41</xm:f>
          </x14:formula1>
          <xm:sqref>AC36</xm:sqref>
        </x14:dataValidation>
        <x14:dataValidation type="list" allowBlank="1" showInputMessage="1" showErrorMessage="1" xr:uid="{F8157524-ACFF-425F-B1CE-876F48477C80}">
          <x14:formula1>
            <xm:f>Dropdown!$A$55:$A$57</xm:f>
          </x14:formula1>
          <xm:sqref>AC38</xm:sqref>
        </x14:dataValidation>
        <x14:dataValidation type="list" allowBlank="1" showInputMessage="1" showErrorMessage="1" xr:uid="{C4985AE8-F684-49D9-8789-20D9BE6CAAD8}">
          <x14:formula1>
            <xm:f>Dropdown!$A$71:$A$73</xm:f>
          </x14:formula1>
          <xm:sqref>AX13:AX32</xm:sqref>
        </x14:dataValidation>
        <x14:dataValidation type="list" allowBlank="1" showInputMessage="1" showErrorMessage="1" xr:uid="{DD211616-622A-43F2-9F84-D243D2393F2E}">
          <x14:formula1>
            <xm:f>Dropdown!$A$60:$A$61</xm:f>
          </x14:formula1>
          <xm:sqref>AU13:AU32</xm:sqref>
        </x14:dataValidation>
        <x14:dataValidation type="list" allowBlank="1" showInputMessage="1" showErrorMessage="1" xr:uid="{FEB8C528-0EED-4537-9793-2ED85A7A80E3}">
          <x14:formula1>
            <xm:f>Dropdown!$A$64:$A$68</xm:f>
          </x14:formula1>
          <xm:sqref>AV13:AW32</xm:sqref>
        </x14:dataValidation>
        <x14:dataValidation type="list" allowBlank="1" showInputMessage="1" showErrorMessage="1" xr:uid="{EA556660-CCAF-4032-BFD1-80BF975A9532}">
          <x14:formula1>
            <xm:f>Dropdown!$A$88:$A$113</xm:f>
          </x14:formula1>
          <xm:sqref>AA13</xm:sqref>
        </x14:dataValidation>
        <x14:dataValidation type="list" allowBlank="1" showInputMessage="1" showErrorMessage="1" xr:uid="{C1BEEB4D-2468-464F-A31E-9AF9B4C2D355}">
          <x14:formula1>
            <xm:f>Dropdown!$A$49:$A$52</xm:f>
          </x14:formula1>
          <xm:sqref>AC37:AE37</xm:sqref>
        </x14:dataValidation>
        <x14:dataValidation type="list" allowBlank="1" showInputMessage="1" showErrorMessage="1" xr:uid="{6B712155-9D12-4E58-87DB-46DAA00E7A07}">
          <x14:formula1>
            <xm:f>Dropdown!$A$44:$A$46</xm:f>
          </x14:formula1>
          <xm:sqref>AC35</xm:sqref>
        </x14:dataValidation>
        <x14:dataValidation type="list" allowBlank="1" showInputMessage="1" showErrorMessage="1" xr:uid="{A968390F-94DA-436A-A4A9-42A04D854B88}">
          <x14:formula1>
            <xm:f>Dropdown!$A$34:$A$37</xm:f>
          </x14:formula1>
          <xm:sqref>AA16:AF16</xm:sqref>
        </x14:dataValidation>
        <x14:dataValidation type="list" allowBlank="1" showInputMessage="1" showErrorMessage="1" xr:uid="{68830466-0577-42F9-A0EB-55BE8AB37C5E}">
          <x14:formula1>
            <xm:f>Dropdown!$A$23:$A$26</xm:f>
          </x14:formula1>
          <xm:sqref>G51:Q51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496E-36FF-49F8-8DD1-2070548CC60F}">
  <sheetPr codeName="Tabelle3"/>
  <dimension ref="A1:J372"/>
  <sheetViews>
    <sheetView topLeftCell="A57" zoomScaleNormal="100" workbookViewId="0">
      <selection activeCell="A124" sqref="A124:XFD124"/>
    </sheetView>
  </sheetViews>
  <sheetFormatPr baseColWidth="10" defaultColWidth="0" defaultRowHeight="11.6" zeroHeight="1" x14ac:dyDescent="0.45"/>
  <cols>
    <col min="1" max="1" width="7.5703125" style="6" bestFit="1" customWidth="1"/>
    <col min="2" max="2" width="7.640625" style="6" customWidth="1"/>
    <col min="3" max="3" width="45.5703125" style="6" customWidth="1"/>
    <col min="4" max="4" width="45.5703125" style="11" customWidth="1"/>
    <col min="5" max="5" width="45.5703125" style="12" customWidth="1"/>
    <col min="6" max="6" width="45.5703125" style="13" customWidth="1"/>
    <col min="7" max="7" width="45.5703125" style="14" customWidth="1"/>
    <col min="8" max="8" width="5.35546875" style="15" customWidth="1"/>
    <col min="9" max="9" width="45.5703125" style="15" hidden="1" customWidth="1"/>
    <col min="10" max="16384" width="10.5" style="15" hidden="1"/>
  </cols>
  <sheetData>
    <row r="1" spans="1:10" s="16" customFormat="1" x14ac:dyDescent="0.45">
      <c r="A1" s="1" t="s">
        <v>50</v>
      </c>
      <c r="B1" s="1" t="s">
        <v>49</v>
      </c>
      <c r="C1" s="1" t="str">
        <f>Dropdown!A9</f>
        <v>D</v>
      </c>
      <c r="D1" s="2" t="s">
        <v>31</v>
      </c>
      <c r="E1" s="3" t="s">
        <v>38</v>
      </c>
      <c r="F1" s="4" t="s">
        <v>206</v>
      </c>
      <c r="G1" s="5" t="s">
        <v>205</v>
      </c>
      <c r="H1" s="15"/>
      <c r="I1" s="15"/>
      <c r="J1" s="15"/>
    </row>
    <row r="2" spans="1:10" x14ac:dyDescent="0.45">
      <c r="A2" s="6" t="s">
        <v>298</v>
      </c>
      <c r="C2" s="6" t="str">
        <f t="shared" ref="C2:C68" si="0">IF(C$1="F",E2,IF(C$1="I",F2,IF(C$1="E",G2,D2)))</f>
        <v>Ja</v>
      </c>
      <c r="D2" s="7" t="s">
        <v>89</v>
      </c>
      <c r="E2" s="8" t="s">
        <v>314</v>
      </c>
      <c r="F2" s="9" t="s">
        <v>316</v>
      </c>
      <c r="G2" s="10" t="s">
        <v>318</v>
      </c>
    </row>
    <row r="3" spans="1:10" x14ac:dyDescent="0.45">
      <c r="A3" s="6" t="s">
        <v>298</v>
      </c>
      <c r="C3" s="6" t="str">
        <f t="shared" si="0"/>
        <v>Nein</v>
      </c>
      <c r="D3" s="7" t="s">
        <v>90</v>
      </c>
      <c r="E3" s="8" t="s">
        <v>315</v>
      </c>
      <c r="F3" s="9" t="s">
        <v>317</v>
      </c>
      <c r="G3" s="10" t="s">
        <v>317</v>
      </c>
    </row>
    <row r="4" spans="1:10" x14ac:dyDescent="0.45">
      <c r="A4" s="6" t="s">
        <v>47</v>
      </c>
      <c r="C4" s="6" t="str">
        <f t="shared" si="0"/>
        <v>Projektformular QMmini</v>
      </c>
      <c r="D4" s="7" t="s">
        <v>20</v>
      </c>
      <c r="E4" s="8" t="s">
        <v>313</v>
      </c>
      <c r="F4" s="9" t="s">
        <v>680</v>
      </c>
      <c r="G4" s="10" t="s">
        <v>915</v>
      </c>
    </row>
    <row r="5" spans="1:10" x14ac:dyDescent="0.45">
      <c r="A5" s="6" t="s">
        <v>47</v>
      </c>
      <c r="C5" s="6" t="str">
        <f t="shared" si="0"/>
        <v>Seite 1</v>
      </c>
      <c r="D5" s="7" t="s">
        <v>47</v>
      </c>
      <c r="E5" s="8" t="s">
        <v>319</v>
      </c>
      <c r="F5" s="9" t="s">
        <v>681</v>
      </c>
      <c r="G5" s="10" t="s">
        <v>319</v>
      </c>
    </row>
    <row r="6" spans="1:10" x14ac:dyDescent="0.45">
      <c r="A6" s="6" t="s">
        <v>47</v>
      </c>
      <c r="B6" s="6" t="s">
        <v>51</v>
      </c>
      <c r="C6" s="6" t="str">
        <f t="shared" si="0"/>
        <v>A01. Bauherrschaft</v>
      </c>
      <c r="D6" s="7" t="s">
        <v>0</v>
      </c>
      <c r="E6" s="8" t="s">
        <v>325</v>
      </c>
      <c r="F6" s="9" t="s">
        <v>687</v>
      </c>
      <c r="G6" s="10" t="s">
        <v>916</v>
      </c>
    </row>
    <row r="7" spans="1:10" x14ac:dyDescent="0.45">
      <c r="A7" s="6" t="s">
        <v>47</v>
      </c>
      <c r="B7" s="6" t="s">
        <v>51</v>
      </c>
      <c r="C7" s="6" t="str">
        <f t="shared" si="0"/>
        <v>Bauherrschaft</v>
      </c>
      <c r="D7" s="11" t="s">
        <v>1</v>
      </c>
      <c r="E7" s="12" t="s">
        <v>321</v>
      </c>
      <c r="F7" s="13" t="s">
        <v>682</v>
      </c>
      <c r="G7" s="14" t="s">
        <v>377</v>
      </c>
    </row>
    <row r="8" spans="1:10" x14ac:dyDescent="0.45">
      <c r="A8" s="6" t="s">
        <v>47</v>
      </c>
      <c r="B8" s="6" t="s">
        <v>51</v>
      </c>
      <c r="C8" s="6" t="str">
        <f t="shared" si="0"/>
        <v>Ansprechperson/Kontaktperson</v>
      </c>
      <c r="D8" s="11" t="s">
        <v>2</v>
      </c>
      <c r="E8" s="12" t="s">
        <v>1052</v>
      </c>
      <c r="F8" s="13" t="s">
        <v>683</v>
      </c>
      <c r="G8" s="14" t="s">
        <v>926</v>
      </c>
    </row>
    <row r="9" spans="1:10" x14ac:dyDescent="0.45">
      <c r="A9" s="6" t="s">
        <v>47</v>
      </c>
      <c r="B9" s="6" t="s">
        <v>51</v>
      </c>
      <c r="C9" s="6" t="str">
        <f t="shared" si="0"/>
        <v>Strasse</v>
      </c>
      <c r="D9" s="11" t="s">
        <v>5</v>
      </c>
      <c r="E9" s="12" t="s">
        <v>322</v>
      </c>
      <c r="F9" s="13" t="s">
        <v>684</v>
      </c>
      <c r="G9" s="14" t="s">
        <v>856</v>
      </c>
    </row>
    <row r="10" spans="1:10" x14ac:dyDescent="0.45">
      <c r="A10" s="6" t="s">
        <v>47</v>
      </c>
      <c r="B10" s="6" t="s">
        <v>51</v>
      </c>
      <c r="C10" s="6" t="str">
        <f t="shared" si="0"/>
        <v>Telefon</v>
      </c>
      <c r="D10" s="7" t="s">
        <v>12</v>
      </c>
      <c r="E10" s="12" t="s">
        <v>324</v>
      </c>
      <c r="F10" s="13" t="s">
        <v>686</v>
      </c>
      <c r="G10" s="10" t="s">
        <v>857</v>
      </c>
    </row>
    <row r="11" spans="1:10" x14ac:dyDescent="0.45">
      <c r="A11" s="6" t="s">
        <v>47</v>
      </c>
      <c r="B11" s="6" t="s">
        <v>51</v>
      </c>
      <c r="C11" s="6" t="str">
        <f t="shared" si="0"/>
        <v>E-Mail</v>
      </c>
      <c r="D11" s="11" t="s">
        <v>41</v>
      </c>
      <c r="E11" s="12" t="s">
        <v>41</v>
      </c>
      <c r="F11" s="13" t="s">
        <v>41</v>
      </c>
      <c r="G11" s="14" t="s">
        <v>41</v>
      </c>
    </row>
    <row r="12" spans="1:10" x14ac:dyDescent="0.45">
      <c r="A12" s="6" t="s">
        <v>47</v>
      </c>
      <c r="B12" s="6" t="s">
        <v>51</v>
      </c>
      <c r="C12" s="6" t="str">
        <f t="shared" si="0"/>
        <v>PLZ, Ort</v>
      </c>
      <c r="D12" s="11" t="s">
        <v>40</v>
      </c>
      <c r="E12" s="8" t="s">
        <v>323</v>
      </c>
      <c r="F12" s="9" t="s">
        <v>685</v>
      </c>
      <c r="G12" s="14" t="s">
        <v>917</v>
      </c>
    </row>
    <row r="13" spans="1:10" x14ac:dyDescent="0.45">
      <c r="A13" s="6" t="s">
        <v>47</v>
      </c>
      <c r="B13" s="6" t="s">
        <v>54</v>
      </c>
      <c r="C13" s="6" t="str">
        <f t="shared" si="0"/>
        <v>A02. Projektverantwortlicher</v>
      </c>
      <c r="D13" s="11" t="s">
        <v>3</v>
      </c>
      <c r="E13" s="12" t="s">
        <v>1151</v>
      </c>
      <c r="F13" s="13" t="s">
        <v>690</v>
      </c>
      <c r="G13" s="14" t="s">
        <v>1152</v>
      </c>
    </row>
    <row r="14" spans="1:10" x14ac:dyDescent="0.45">
      <c r="A14" s="6" t="s">
        <v>47</v>
      </c>
      <c r="B14" s="6" t="s">
        <v>54</v>
      </c>
      <c r="C14" s="6" t="str">
        <f t="shared" si="0"/>
        <v>Verantwortlich für vorliegende Projektangaben</v>
      </c>
      <c r="D14" s="11" t="s">
        <v>4</v>
      </c>
      <c r="E14" s="12" t="s">
        <v>1053</v>
      </c>
      <c r="F14" s="13" t="s">
        <v>688</v>
      </c>
      <c r="G14" s="14" t="s">
        <v>858</v>
      </c>
    </row>
    <row r="15" spans="1:10" x14ac:dyDescent="0.45">
      <c r="A15" s="6" t="s">
        <v>47</v>
      </c>
      <c r="B15" s="6" t="s">
        <v>54</v>
      </c>
      <c r="C15" s="6" t="str">
        <f t="shared" si="0"/>
        <v>Funktion</v>
      </c>
      <c r="D15" s="11" t="s">
        <v>11</v>
      </c>
      <c r="E15" s="12" t="s">
        <v>326</v>
      </c>
      <c r="F15" s="13" t="s">
        <v>689</v>
      </c>
      <c r="G15" s="14" t="s">
        <v>859</v>
      </c>
    </row>
    <row r="16" spans="1:10" x14ac:dyDescent="0.45">
      <c r="A16" s="6" t="s">
        <v>47</v>
      </c>
      <c r="B16" s="6" t="s">
        <v>54</v>
      </c>
      <c r="C16" s="6" t="str">
        <f t="shared" si="0"/>
        <v>Anlagenbeschreibung</v>
      </c>
      <c r="D16" s="11" t="s">
        <v>6</v>
      </c>
      <c r="E16" s="12" t="s">
        <v>1054</v>
      </c>
      <c r="F16" s="13" t="s">
        <v>696</v>
      </c>
      <c r="G16" s="14" t="s">
        <v>860</v>
      </c>
    </row>
    <row r="17" spans="1:7" x14ac:dyDescent="0.45">
      <c r="A17" s="6" t="s">
        <v>47</v>
      </c>
      <c r="B17" s="6" t="s">
        <v>54</v>
      </c>
      <c r="C17" s="6" t="str">
        <f t="shared" si="0"/>
        <v>Planer</v>
      </c>
      <c r="D17" s="11" t="s">
        <v>13</v>
      </c>
      <c r="E17" s="12" t="s">
        <v>327</v>
      </c>
      <c r="F17" s="13" t="s">
        <v>691</v>
      </c>
      <c r="G17" s="14" t="s">
        <v>930</v>
      </c>
    </row>
    <row r="18" spans="1:7" x14ac:dyDescent="0.45">
      <c r="A18" s="6" t="s">
        <v>47</v>
      </c>
      <c r="B18" s="6" t="s">
        <v>54</v>
      </c>
      <c r="C18" s="6" t="str">
        <f t="shared" si="0"/>
        <v>Installateur</v>
      </c>
      <c r="D18" s="11" t="s">
        <v>15</v>
      </c>
      <c r="E18" s="12" t="s">
        <v>15</v>
      </c>
      <c r="F18" s="13" t="s">
        <v>692</v>
      </c>
      <c r="G18" s="14" t="s">
        <v>861</v>
      </c>
    </row>
    <row r="19" spans="1:7" x14ac:dyDescent="0.45">
      <c r="A19" s="6" t="s">
        <v>47</v>
      </c>
      <c r="B19" s="6" t="s">
        <v>54</v>
      </c>
      <c r="C19" s="6" t="str">
        <f t="shared" si="0"/>
        <v>Architekt</v>
      </c>
      <c r="D19" s="11" t="s">
        <v>16</v>
      </c>
      <c r="E19" s="12" t="s">
        <v>328</v>
      </c>
      <c r="F19" s="13" t="s">
        <v>693</v>
      </c>
      <c r="G19" s="14" t="s">
        <v>862</v>
      </c>
    </row>
    <row r="20" spans="1:7" x14ac:dyDescent="0.45">
      <c r="A20" s="6" t="s">
        <v>47</v>
      </c>
      <c r="B20" s="6" t="s">
        <v>54</v>
      </c>
      <c r="C20" s="6" t="str">
        <f t="shared" si="0"/>
        <v>Bauherr</v>
      </c>
      <c r="D20" s="11" t="s">
        <v>17</v>
      </c>
      <c r="E20" s="12" t="s">
        <v>329</v>
      </c>
      <c r="F20" s="13" t="s">
        <v>682</v>
      </c>
      <c r="G20" s="14" t="s">
        <v>863</v>
      </c>
    </row>
    <row r="21" spans="1:7" x14ac:dyDescent="0.45">
      <c r="A21" s="6" t="s">
        <v>47</v>
      </c>
      <c r="B21" s="6" t="s">
        <v>54</v>
      </c>
      <c r="C21" s="6" t="str">
        <f t="shared" si="0"/>
        <v>Sonstige:</v>
      </c>
      <c r="D21" s="11" t="s">
        <v>48</v>
      </c>
      <c r="E21" s="12" t="s">
        <v>1055</v>
      </c>
      <c r="F21" s="13" t="s">
        <v>695</v>
      </c>
      <c r="G21" s="14" t="s">
        <v>864</v>
      </c>
    </row>
    <row r="22" spans="1:7" x14ac:dyDescent="0.45">
      <c r="A22" s="6" t="s">
        <v>47</v>
      </c>
      <c r="B22" s="6" t="s">
        <v>52</v>
      </c>
      <c r="C22" s="6" t="str">
        <f t="shared" si="0"/>
        <v>A03. Ergebnis der Plausibilitätsprüfun durch QMmini</v>
      </c>
      <c r="D22" s="11" t="s">
        <v>30</v>
      </c>
      <c r="E22" s="12" t="s">
        <v>1402</v>
      </c>
      <c r="F22" s="13" t="s">
        <v>707</v>
      </c>
      <c r="G22" s="14" t="s">
        <v>865</v>
      </c>
    </row>
    <row r="23" spans="1:7" x14ac:dyDescent="0.45">
      <c r="A23" s="6" t="s">
        <v>47</v>
      </c>
      <c r="B23" s="6" t="s">
        <v>52</v>
      </c>
      <c r="C23" s="6" t="str">
        <f t="shared" si="0"/>
        <v>Situationserfassung der Abnehmer</v>
      </c>
      <c r="D23" s="11" t="s">
        <v>29</v>
      </c>
      <c r="E23" s="12" t="s">
        <v>330</v>
      </c>
      <c r="F23" s="13" t="s">
        <v>697</v>
      </c>
      <c r="G23" s="14" t="s">
        <v>866</v>
      </c>
    </row>
    <row r="24" spans="1:7" x14ac:dyDescent="0.45">
      <c r="A24" s="6" t="s">
        <v>47</v>
      </c>
      <c r="B24" s="6" t="s">
        <v>52</v>
      </c>
      <c r="C24" s="6" t="str">
        <f t="shared" si="0"/>
        <v>Leistungsreserve</v>
      </c>
      <c r="D24" s="11" t="s">
        <v>21</v>
      </c>
      <c r="E24" s="12" t="s">
        <v>331</v>
      </c>
      <c r="F24" s="13" t="s">
        <v>698</v>
      </c>
      <c r="G24" s="14" t="s">
        <v>867</v>
      </c>
    </row>
    <row r="25" spans="1:7" x14ac:dyDescent="0.45">
      <c r="A25" s="6" t="s">
        <v>47</v>
      </c>
      <c r="B25" s="6" t="s">
        <v>52</v>
      </c>
      <c r="C25" s="6" t="str">
        <f t="shared" si="0"/>
        <v>Dimensionierung des Holzkessels</v>
      </c>
      <c r="D25" s="11" t="s">
        <v>22</v>
      </c>
      <c r="E25" s="12" t="s">
        <v>332</v>
      </c>
      <c r="F25" s="13" t="s">
        <v>699</v>
      </c>
      <c r="G25" s="14" t="s">
        <v>868</v>
      </c>
    </row>
    <row r="26" spans="1:7" x14ac:dyDescent="0.45">
      <c r="A26" s="6" t="s">
        <v>47</v>
      </c>
      <c r="B26" s="6" t="s">
        <v>52</v>
      </c>
      <c r="C26" s="6" t="str">
        <f t="shared" si="0"/>
        <v>Wärmenetz</v>
      </c>
      <c r="D26" s="11" t="s">
        <v>23</v>
      </c>
      <c r="E26" s="12" t="s">
        <v>1056</v>
      </c>
      <c r="F26" s="13" t="s">
        <v>700</v>
      </c>
      <c r="G26" s="14" t="s">
        <v>869</v>
      </c>
    </row>
    <row r="27" spans="1:7" x14ac:dyDescent="0.45">
      <c r="A27" s="6" t="s">
        <v>47</v>
      </c>
      <c r="B27" s="6" t="s">
        <v>52</v>
      </c>
      <c r="C27" s="6" t="str">
        <f t="shared" si="0"/>
        <v>Anschlussdichte</v>
      </c>
      <c r="D27" s="11" t="s">
        <v>24</v>
      </c>
      <c r="E27" s="12" t="s">
        <v>333</v>
      </c>
      <c r="F27" s="13" t="s">
        <v>701</v>
      </c>
      <c r="G27" s="14" t="s">
        <v>870</v>
      </c>
    </row>
    <row r="28" spans="1:7" x14ac:dyDescent="0.45">
      <c r="A28" s="6" t="s">
        <v>47</v>
      </c>
      <c r="B28" s="6" t="s">
        <v>52</v>
      </c>
      <c r="C28" s="6" t="str">
        <f t="shared" si="0"/>
        <v>Ganzjahresbetrieb</v>
      </c>
      <c r="D28" s="11" t="s">
        <v>25</v>
      </c>
      <c r="E28" s="12" t="s">
        <v>334</v>
      </c>
      <c r="F28" s="13" t="s">
        <v>702</v>
      </c>
      <c r="G28" s="14" t="s">
        <v>871</v>
      </c>
    </row>
    <row r="29" spans="1:7" x14ac:dyDescent="0.45">
      <c r="A29" s="6" t="s">
        <v>47</v>
      </c>
      <c r="B29" s="6" t="s">
        <v>52</v>
      </c>
      <c r="C29" s="6" t="str">
        <f t="shared" si="0"/>
        <v>Speicher</v>
      </c>
      <c r="D29" s="11" t="s">
        <v>26</v>
      </c>
      <c r="E29" s="12" t="s">
        <v>335</v>
      </c>
      <c r="F29" s="13" t="s">
        <v>703</v>
      </c>
      <c r="G29" s="14" t="s">
        <v>937</v>
      </c>
    </row>
    <row r="30" spans="1:7" x14ac:dyDescent="0.45">
      <c r="A30" s="6" t="s">
        <v>47</v>
      </c>
      <c r="B30" s="6" t="s">
        <v>52</v>
      </c>
      <c r="C30" s="6" t="str">
        <f t="shared" si="0"/>
        <v>Empfehlung Brennstofflager erfüllt?</v>
      </c>
      <c r="D30" s="11" t="s">
        <v>27</v>
      </c>
      <c r="E30" s="12" t="s">
        <v>1116</v>
      </c>
      <c r="F30" s="13" t="s">
        <v>1153</v>
      </c>
      <c r="G30" s="14" t="s">
        <v>918</v>
      </c>
    </row>
    <row r="31" spans="1:7" x14ac:dyDescent="0.45">
      <c r="A31" s="6" t="s">
        <v>47</v>
      </c>
      <c r="B31" s="6" t="s">
        <v>52</v>
      </c>
      <c r="C31" s="6" t="str">
        <f t="shared" si="0"/>
        <v>Verpflichtungen des Projektverantwortlichen</v>
      </c>
      <c r="D31" s="11" t="s">
        <v>28</v>
      </c>
      <c r="E31" s="12" t="s">
        <v>336</v>
      </c>
      <c r="F31" s="13" t="s">
        <v>704</v>
      </c>
      <c r="G31" s="14" t="s">
        <v>872</v>
      </c>
    </row>
    <row r="32" spans="1:7" x14ac:dyDescent="0.45">
      <c r="A32" s="6" t="s">
        <v>47</v>
      </c>
      <c r="B32" s="6" t="s">
        <v>52</v>
      </c>
      <c r="C32" s="6" t="str">
        <f t="shared" si="0"/>
        <v>Kennzahlen sind im plausiblen Bereich</v>
      </c>
      <c r="D32" s="11" t="s">
        <v>55</v>
      </c>
      <c r="E32" s="12" t="s">
        <v>1057</v>
      </c>
      <c r="F32" s="13" t="s">
        <v>708</v>
      </c>
      <c r="G32" s="14" t="s">
        <v>873</v>
      </c>
    </row>
    <row r="33" spans="1:7" x14ac:dyDescent="0.45">
      <c r="A33" s="6" t="s">
        <v>47</v>
      </c>
      <c r="B33" s="6" t="s">
        <v>52</v>
      </c>
      <c r="C33" s="6" t="str">
        <f t="shared" si="0"/>
        <v>Kennzahlen ausserhalb plausiblem Bereich</v>
      </c>
      <c r="D33" s="11" t="s">
        <v>337</v>
      </c>
      <c r="E33" s="12" t="s">
        <v>1058</v>
      </c>
      <c r="F33" s="13" t="s">
        <v>709</v>
      </c>
      <c r="G33" s="14" t="s">
        <v>874</v>
      </c>
    </row>
    <row r="34" spans="1:7" x14ac:dyDescent="0.45">
      <c r="A34" s="6" t="s">
        <v>47</v>
      </c>
      <c r="B34" s="6" t="s">
        <v>52</v>
      </c>
      <c r="C34" s="6" t="str">
        <f t="shared" si="0"/>
        <v>Reserve in Ordnung</v>
      </c>
      <c r="D34" s="11" t="s">
        <v>56</v>
      </c>
      <c r="E34" s="12" t="s">
        <v>338</v>
      </c>
      <c r="F34" s="13" t="s">
        <v>710</v>
      </c>
      <c r="G34" s="14" t="s">
        <v>919</v>
      </c>
    </row>
    <row r="35" spans="1:7" x14ac:dyDescent="0.45">
      <c r="A35" s="6" t="s">
        <v>47</v>
      </c>
      <c r="B35" s="6" t="s">
        <v>52</v>
      </c>
      <c r="C35" s="6" t="str">
        <f t="shared" si="0"/>
        <v>Reserve &gt; 30%</v>
      </c>
      <c r="D35" s="11" t="s">
        <v>57</v>
      </c>
      <c r="E35" s="12" t="s">
        <v>339</v>
      </c>
      <c r="F35" s="13" t="s">
        <v>711</v>
      </c>
      <c r="G35" s="14" t="s">
        <v>57</v>
      </c>
    </row>
    <row r="36" spans="1:7" x14ac:dyDescent="0.45">
      <c r="A36" s="6" t="s">
        <v>47</v>
      </c>
      <c r="B36" s="6" t="s">
        <v>52</v>
      </c>
      <c r="C36" s="6" t="str">
        <f t="shared" si="0"/>
        <v>Dimensionierung i.O.</v>
      </c>
      <c r="D36" s="11" t="s">
        <v>58</v>
      </c>
      <c r="E36" s="12" t="s">
        <v>340</v>
      </c>
      <c r="F36" s="13" t="s">
        <v>712</v>
      </c>
      <c r="G36" s="14" t="s">
        <v>875</v>
      </c>
    </row>
    <row r="37" spans="1:7" x14ac:dyDescent="0.45">
      <c r="A37" s="6" t="s">
        <v>47</v>
      </c>
      <c r="B37" s="6" t="s">
        <v>52</v>
      </c>
      <c r="C37" s="6" t="str">
        <f t="shared" si="0"/>
        <v>Kessel überdimensioniert</v>
      </c>
      <c r="D37" s="11" t="s">
        <v>59</v>
      </c>
      <c r="E37" s="12" t="s">
        <v>341</v>
      </c>
      <c r="F37" s="13" t="s">
        <v>713</v>
      </c>
      <c r="G37" s="14" t="s">
        <v>876</v>
      </c>
    </row>
    <row r="38" spans="1:7" x14ac:dyDescent="0.45">
      <c r="A38" s="6" t="s">
        <v>47</v>
      </c>
      <c r="B38" s="6" t="s">
        <v>52</v>
      </c>
      <c r="C38" s="6" t="str">
        <f t="shared" si="0"/>
        <v>Kessel zu klein</v>
      </c>
      <c r="D38" s="11" t="s">
        <v>60</v>
      </c>
      <c r="E38" s="12" t="s">
        <v>342</v>
      </c>
      <c r="F38" s="13" t="s">
        <v>714</v>
      </c>
      <c r="G38" s="14" t="s">
        <v>877</v>
      </c>
    </row>
    <row r="39" spans="1:7" x14ac:dyDescent="0.45">
      <c r="A39" s="6" t="s">
        <v>47</v>
      </c>
      <c r="B39" s="6" t="s">
        <v>52</v>
      </c>
      <c r="C39" s="6" t="str">
        <f t="shared" si="0"/>
        <v>∆T Vorlauf-Rücklauf i.O.</v>
      </c>
      <c r="D39" s="11" t="s">
        <v>61</v>
      </c>
      <c r="E39" s="12" t="s">
        <v>343</v>
      </c>
      <c r="F39" s="13" t="s">
        <v>715</v>
      </c>
      <c r="G39" s="14" t="s">
        <v>931</v>
      </c>
    </row>
    <row r="40" spans="1:7" x14ac:dyDescent="0.45">
      <c r="A40" s="6" t="s">
        <v>47</v>
      </c>
      <c r="B40" s="6" t="s">
        <v>52</v>
      </c>
      <c r="C40" s="6" t="str">
        <f t="shared" si="0"/>
        <v>∆T Vorlauf-Rücklauf zu klein</v>
      </c>
      <c r="D40" s="11" t="s">
        <v>62</v>
      </c>
      <c r="E40" s="12" t="s">
        <v>344</v>
      </c>
      <c r="F40" s="13" t="s">
        <v>716</v>
      </c>
      <c r="G40" s="14" t="s">
        <v>932</v>
      </c>
    </row>
    <row r="41" spans="1:7" x14ac:dyDescent="0.45">
      <c r="A41" s="6" t="s">
        <v>47</v>
      </c>
      <c r="B41" s="6" t="s">
        <v>52</v>
      </c>
      <c r="C41" s="6" t="str">
        <f t="shared" si="0"/>
        <v>Kein Wärmenetz</v>
      </c>
      <c r="D41" s="11" t="s">
        <v>63</v>
      </c>
      <c r="E41" s="12" t="s">
        <v>1059</v>
      </c>
      <c r="F41" s="13" t="s">
        <v>717</v>
      </c>
      <c r="G41" s="14" t="s">
        <v>878</v>
      </c>
    </row>
    <row r="42" spans="1:7" x14ac:dyDescent="0.45">
      <c r="A42" s="6" t="s">
        <v>47</v>
      </c>
      <c r="B42" s="6" t="s">
        <v>52</v>
      </c>
      <c r="C42" s="6" t="str">
        <f t="shared" si="0"/>
        <v>Anschlussdichte i.O.</v>
      </c>
      <c r="D42" s="11" t="s">
        <v>64</v>
      </c>
      <c r="E42" s="12" t="s">
        <v>345</v>
      </c>
      <c r="F42" s="13" t="s">
        <v>718</v>
      </c>
      <c r="G42" s="14" t="s">
        <v>933</v>
      </c>
    </row>
    <row r="43" spans="1:7" x14ac:dyDescent="0.45">
      <c r="A43" s="6" t="s">
        <v>47</v>
      </c>
      <c r="B43" s="6" t="s">
        <v>52</v>
      </c>
      <c r="C43" s="6" t="str">
        <f t="shared" si="0"/>
        <v>Anschlussdichte zu tief</v>
      </c>
      <c r="D43" s="11" t="s">
        <v>65</v>
      </c>
      <c r="E43" s="12" t="s">
        <v>1060</v>
      </c>
      <c r="F43" s="13" t="s">
        <v>719</v>
      </c>
      <c r="G43" s="14" t="s">
        <v>934</v>
      </c>
    </row>
    <row r="44" spans="1:7" x14ac:dyDescent="0.45">
      <c r="A44" s="6" t="s">
        <v>47</v>
      </c>
      <c r="B44" s="6" t="s">
        <v>52</v>
      </c>
      <c r="C44" s="6" t="str">
        <f t="shared" si="0"/>
        <v>Kein Wärmenetz</v>
      </c>
      <c r="D44" s="11" t="s">
        <v>63</v>
      </c>
      <c r="E44" s="12" t="s">
        <v>1059</v>
      </c>
      <c r="F44" s="13" t="s">
        <v>717</v>
      </c>
      <c r="G44" s="14" t="s">
        <v>878</v>
      </c>
    </row>
    <row r="45" spans="1:7" x14ac:dyDescent="0.45">
      <c r="A45" s="6" t="s">
        <v>47</v>
      </c>
      <c r="B45" s="6" t="s">
        <v>52</v>
      </c>
      <c r="C45" s="6" t="str">
        <f t="shared" si="0"/>
        <v>Ganzjahresbetrieb mit Schwachlastbedingung erfüllt</v>
      </c>
      <c r="D45" s="11" t="s">
        <v>66</v>
      </c>
      <c r="E45" s="12" t="s">
        <v>1353</v>
      </c>
      <c r="F45" s="13" t="s">
        <v>1354</v>
      </c>
      <c r="G45" s="14" t="s">
        <v>879</v>
      </c>
    </row>
    <row r="46" spans="1:7" x14ac:dyDescent="0.45">
      <c r="A46" s="6" t="s">
        <v>47</v>
      </c>
      <c r="B46" s="6" t="s">
        <v>52</v>
      </c>
      <c r="C46" s="6" t="str">
        <f t="shared" si="0"/>
        <v>Ganzjahresbetrieb mit Schwachlastbedingung nicht erfüllt</v>
      </c>
      <c r="D46" s="11" t="s">
        <v>67</v>
      </c>
      <c r="E46" s="12" t="s">
        <v>1351</v>
      </c>
      <c r="F46" s="13" t="s">
        <v>1352</v>
      </c>
      <c r="G46" s="14" t="s">
        <v>880</v>
      </c>
    </row>
    <row r="47" spans="1:7" ht="23.15" x14ac:dyDescent="0.45">
      <c r="A47" s="6" t="s">
        <v>47</v>
      </c>
      <c r="B47" s="6" t="s">
        <v>52</v>
      </c>
      <c r="C47" s="6" t="str">
        <f t="shared" si="0"/>
        <v>Kein Ganzjahresbetrieb - trotzdem Schwachlastbetrieb beachten</v>
      </c>
      <c r="D47" s="11" t="s">
        <v>1144</v>
      </c>
      <c r="E47" s="12" t="s">
        <v>1355</v>
      </c>
      <c r="F47" s="13" t="s">
        <v>1370</v>
      </c>
      <c r="G47" s="14" t="s">
        <v>1145</v>
      </c>
    </row>
    <row r="48" spans="1:7" x14ac:dyDescent="0.45">
      <c r="A48" s="6" t="s">
        <v>47</v>
      </c>
      <c r="B48" s="6" t="s">
        <v>52</v>
      </c>
      <c r="C48" s="6" t="str">
        <f t="shared" si="0"/>
        <v>Speichervolumen i.O.</v>
      </c>
      <c r="D48" s="11" t="s">
        <v>68</v>
      </c>
      <c r="E48" s="12" t="s">
        <v>346</v>
      </c>
      <c r="F48" s="13" t="s">
        <v>720</v>
      </c>
      <c r="G48" s="14" t="s">
        <v>935</v>
      </c>
    </row>
    <row r="49" spans="1:7" x14ac:dyDescent="0.45">
      <c r="A49" s="6" t="s">
        <v>47</v>
      </c>
      <c r="B49" s="6" t="s">
        <v>52</v>
      </c>
      <c r="C49" s="6" t="str">
        <f t="shared" si="0"/>
        <v>Speicher zu klein</v>
      </c>
      <c r="D49" s="11" t="s">
        <v>69</v>
      </c>
      <c r="E49" s="12" t="s">
        <v>347</v>
      </c>
      <c r="F49" s="13" t="s">
        <v>721</v>
      </c>
      <c r="G49" s="14" t="s">
        <v>936</v>
      </c>
    </row>
    <row r="50" spans="1:7" ht="23.15" x14ac:dyDescent="0.45">
      <c r="A50" s="6" t="s">
        <v>47</v>
      </c>
      <c r="B50" s="6" t="s">
        <v>52</v>
      </c>
      <c r="C50" s="6" t="str">
        <f>IF(C$1="F",E50,IF(C$1="I",F50,IF(C$1="E",G50,D50)))</f>
        <v xml:space="preserve">Speichervolumen nach QMH i.O., gemäss LRV zu klein </v>
      </c>
      <c r="D50" s="11" t="s">
        <v>1331</v>
      </c>
      <c r="E50" s="12" t="s">
        <v>1406</v>
      </c>
      <c r="F50" s="13" t="s">
        <v>1371</v>
      </c>
      <c r="G50" s="14" t="s">
        <v>1332</v>
      </c>
    </row>
    <row r="51" spans="1:7" x14ac:dyDescent="0.45">
      <c r="A51" s="6" t="s">
        <v>47</v>
      </c>
      <c r="B51" s="6" t="s">
        <v>52</v>
      </c>
      <c r="C51" s="6" t="str">
        <f t="shared" si="0"/>
        <v>Kein Speicher</v>
      </c>
      <c r="D51" s="11" t="s">
        <v>307</v>
      </c>
      <c r="E51" s="12" t="s">
        <v>348</v>
      </c>
      <c r="F51" s="13" t="s">
        <v>722</v>
      </c>
      <c r="G51" s="14" t="s">
        <v>938</v>
      </c>
    </row>
    <row r="52" spans="1:7" ht="23.15" x14ac:dyDescent="0.45">
      <c r="A52" s="6" t="s">
        <v>47</v>
      </c>
      <c r="B52" s="6" t="s">
        <v>52</v>
      </c>
      <c r="C52" s="6" t="str">
        <f t="shared" si="0"/>
        <v>i.O. für Pellets, für Holzhackschnitzel über empfohlener Grösse</v>
      </c>
      <c r="D52" s="11" t="s">
        <v>669</v>
      </c>
      <c r="E52" s="12" t="s">
        <v>1061</v>
      </c>
      <c r="F52" s="13" t="s">
        <v>723</v>
      </c>
      <c r="G52" s="14" t="s">
        <v>939</v>
      </c>
    </row>
    <row r="53" spans="1:7" x14ac:dyDescent="0.45">
      <c r="A53" s="6" t="s">
        <v>47</v>
      </c>
      <c r="B53" s="6" t="s">
        <v>52</v>
      </c>
      <c r="C53" s="6" t="str">
        <f t="shared" si="0"/>
        <v>Brennstofflager zu klein</v>
      </c>
      <c r="D53" s="11" t="s">
        <v>70</v>
      </c>
      <c r="E53" s="12" t="s">
        <v>1062</v>
      </c>
      <c r="F53" s="13" t="s">
        <v>1154</v>
      </c>
      <c r="G53" s="14" t="s">
        <v>927</v>
      </c>
    </row>
    <row r="54" spans="1:7" x14ac:dyDescent="0.45">
      <c r="A54" s="6" t="s">
        <v>47</v>
      </c>
      <c r="B54" s="6" t="s">
        <v>52</v>
      </c>
      <c r="C54" s="6" t="str">
        <f t="shared" si="0"/>
        <v>Die in Abschnitt A11 aufgeführten Verpflichtungen werden erfüllt.</v>
      </c>
      <c r="D54" s="11" t="s">
        <v>310</v>
      </c>
      <c r="E54" s="12" t="s">
        <v>431</v>
      </c>
      <c r="F54" s="13" t="s">
        <v>724</v>
      </c>
      <c r="G54" s="14" t="s">
        <v>881</v>
      </c>
    </row>
    <row r="55" spans="1:7" x14ac:dyDescent="0.45">
      <c r="A55" s="6" t="s">
        <v>47</v>
      </c>
      <c r="B55" s="6" t="s">
        <v>52</v>
      </c>
      <c r="C55" s="6" t="str">
        <f t="shared" si="0"/>
        <v>Bestätigung des Projektverantwortlichen</v>
      </c>
      <c r="D55" s="11" t="s">
        <v>39</v>
      </c>
      <c r="E55" s="12" t="s">
        <v>1063</v>
      </c>
      <c r="F55" s="13" t="s">
        <v>705</v>
      </c>
      <c r="G55" s="14" t="s">
        <v>882</v>
      </c>
    </row>
    <row r="56" spans="1:7" x14ac:dyDescent="0.45">
      <c r="A56" s="6" t="s">
        <v>47</v>
      </c>
      <c r="B56" s="6" t="s">
        <v>52</v>
      </c>
      <c r="C56" s="6" t="str">
        <f t="shared" ref="C56" si="1">IF(C$1="F",E56,IF(C$1="I",F56,IF(C$1="E",G56,D56)))</f>
        <v>Ort</v>
      </c>
      <c r="D56" s="11" t="s">
        <v>465</v>
      </c>
      <c r="E56" s="12" t="s">
        <v>1436</v>
      </c>
      <c r="F56" s="13" t="s">
        <v>1438</v>
      </c>
      <c r="G56" s="14" t="s">
        <v>1440</v>
      </c>
    </row>
    <row r="57" spans="1:7" x14ac:dyDescent="0.45">
      <c r="A57" s="6" t="s">
        <v>47</v>
      </c>
      <c r="B57" s="6" t="s">
        <v>52</v>
      </c>
      <c r="C57" s="6" t="str">
        <f t="shared" si="0"/>
        <v>Datum</v>
      </c>
      <c r="D57" s="11" t="s">
        <v>1328</v>
      </c>
      <c r="E57" s="12" t="s">
        <v>1437</v>
      </c>
      <c r="F57" s="13" t="s">
        <v>1439</v>
      </c>
      <c r="G57" s="14" t="s">
        <v>1437</v>
      </c>
    </row>
    <row r="58" spans="1:7" x14ac:dyDescent="0.45">
      <c r="A58" s="6" t="s">
        <v>47</v>
      </c>
      <c r="B58" s="6" t="s">
        <v>52</v>
      </c>
      <c r="C58" s="6" t="str">
        <f t="shared" si="0"/>
        <v>Unterschrift</v>
      </c>
      <c r="D58" s="11" t="s">
        <v>10</v>
      </c>
      <c r="E58" s="12" t="s">
        <v>349</v>
      </c>
      <c r="F58" s="13" t="s">
        <v>706</v>
      </c>
      <c r="G58" s="14" t="s">
        <v>349</v>
      </c>
    </row>
    <row r="59" spans="1:7" ht="23.15" x14ac:dyDescent="0.45">
      <c r="A59" s="6" t="s">
        <v>47</v>
      </c>
      <c r="B59" s="6" t="s">
        <v>53</v>
      </c>
      <c r="C59" s="6" t="str">
        <f t="shared" si="0"/>
        <v>A04. Beurteilung und Empfehlung der Prüfstelle QMmini</v>
      </c>
      <c r="D59" s="11" t="s">
        <v>14</v>
      </c>
      <c r="E59" s="12" t="s">
        <v>1401</v>
      </c>
      <c r="F59" s="13" t="s">
        <v>1180</v>
      </c>
      <c r="G59" s="14" t="s">
        <v>940</v>
      </c>
    </row>
    <row r="60" spans="1:7" x14ac:dyDescent="0.45">
      <c r="A60" s="6" t="s">
        <v>47</v>
      </c>
      <c r="B60" s="6" t="s">
        <v>53</v>
      </c>
      <c r="C60" s="6" t="str">
        <f t="shared" si="0"/>
        <v>Anmerkungen:</v>
      </c>
      <c r="D60" s="11" t="s">
        <v>296</v>
      </c>
      <c r="E60" s="12" t="s">
        <v>1064</v>
      </c>
      <c r="F60" s="13" t="s">
        <v>725</v>
      </c>
      <c r="G60" s="14" t="s">
        <v>883</v>
      </c>
    </row>
    <row r="61" spans="1:7" x14ac:dyDescent="0.45">
      <c r="A61" s="6" t="s">
        <v>47</v>
      </c>
      <c r="B61" s="6" t="s">
        <v>53</v>
      </c>
      <c r="C61" s="6" t="str">
        <f t="shared" si="0"/>
        <v xml:space="preserve">Projekt Nummer: </v>
      </c>
      <c r="D61" s="11" t="s">
        <v>843</v>
      </c>
      <c r="E61" s="12" t="s">
        <v>1065</v>
      </c>
      <c r="F61" s="13" t="s">
        <v>844</v>
      </c>
      <c r="G61" s="14" t="s">
        <v>884</v>
      </c>
    </row>
    <row r="62" spans="1:7" x14ac:dyDescent="0.45">
      <c r="A62" s="6" t="s">
        <v>47</v>
      </c>
      <c r="B62" s="6" t="s">
        <v>53</v>
      </c>
      <c r="C62" s="6" t="str">
        <f t="shared" si="0"/>
        <v>Name</v>
      </c>
      <c r="D62" s="11" t="s">
        <v>7</v>
      </c>
      <c r="E62" s="12" t="s">
        <v>350</v>
      </c>
      <c r="F62" s="13" t="s">
        <v>726</v>
      </c>
      <c r="G62" s="14" t="s">
        <v>7</v>
      </c>
    </row>
    <row r="63" spans="1:7" x14ac:dyDescent="0.45">
      <c r="A63" s="6" t="s">
        <v>47</v>
      </c>
      <c r="B63" s="6" t="s">
        <v>53</v>
      </c>
      <c r="C63" s="6" t="str">
        <f t="shared" si="0"/>
        <v>Prüfstelle</v>
      </c>
      <c r="D63" s="11" t="s">
        <v>42</v>
      </c>
      <c r="E63" s="12" t="s">
        <v>1117</v>
      </c>
      <c r="F63" s="13" t="s">
        <v>727</v>
      </c>
      <c r="G63" s="14" t="s">
        <v>941</v>
      </c>
    </row>
    <row r="64" spans="1:7" x14ac:dyDescent="0.45">
      <c r="A64" s="6" t="s">
        <v>71</v>
      </c>
      <c r="C64" s="6" t="str">
        <f t="shared" si="0"/>
        <v>Seite 2</v>
      </c>
      <c r="D64" s="7" t="s">
        <v>71</v>
      </c>
      <c r="E64" s="8" t="s">
        <v>320</v>
      </c>
      <c r="F64" s="9" t="s">
        <v>728</v>
      </c>
      <c r="G64" s="10" t="s">
        <v>320</v>
      </c>
    </row>
    <row r="65" spans="1:7" x14ac:dyDescent="0.45">
      <c r="A65" s="6" t="s">
        <v>71</v>
      </c>
      <c r="B65" s="6" t="s">
        <v>101</v>
      </c>
      <c r="C65" s="6" t="str">
        <f t="shared" si="0"/>
        <v>A05. Angaben zum Projekt</v>
      </c>
      <c r="D65" s="11" t="s">
        <v>72</v>
      </c>
      <c r="E65" s="12" t="s">
        <v>1066</v>
      </c>
      <c r="F65" s="13" t="s">
        <v>731</v>
      </c>
      <c r="G65" s="14" t="s">
        <v>885</v>
      </c>
    </row>
    <row r="66" spans="1:7" x14ac:dyDescent="0.45">
      <c r="A66" s="6" t="s">
        <v>71</v>
      </c>
      <c r="B66" s="6" t="s">
        <v>101</v>
      </c>
      <c r="C66" s="6" t="str">
        <f t="shared" si="0"/>
        <v>geplanter Baubeginn</v>
      </c>
      <c r="D66" s="11" t="s">
        <v>75</v>
      </c>
      <c r="E66" s="12" t="s">
        <v>352</v>
      </c>
      <c r="F66" s="13" t="s">
        <v>729</v>
      </c>
      <c r="G66" s="14" t="s">
        <v>886</v>
      </c>
    </row>
    <row r="67" spans="1:7" x14ac:dyDescent="0.45">
      <c r="A67" s="6" t="s">
        <v>71</v>
      </c>
      <c r="B67" s="6" t="s">
        <v>101</v>
      </c>
      <c r="C67" s="6" t="str">
        <f t="shared" si="0"/>
        <v>voraussichtliche Vollinbetriebnahme</v>
      </c>
      <c r="D67" s="11" t="s">
        <v>102</v>
      </c>
      <c r="E67" s="12" t="s">
        <v>353</v>
      </c>
      <c r="F67" s="13" t="s">
        <v>730</v>
      </c>
      <c r="G67" s="14" t="s">
        <v>942</v>
      </c>
    </row>
    <row r="68" spans="1:7" x14ac:dyDescent="0.45">
      <c r="A68" s="6" t="s">
        <v>71</v>
      </c>
      <c r="B68" s="6" t="s">
        <v>101</v>
      </c>
      <c r="C68" s="6" t="str">
        <f t="shared" si="0"/>
        <v>Strasse</v>
      </c>
      <c r="D68" s="11" t="s">
        <v>5</v>
      </c>
      <c r="E68" s="12" t="s">
        <v>322</v>
      </c>
      <c r="F68" s="13" t="s">
        <v>684</v>
      </c>
      <c r="G68" s="14" t="s">
        <v>856</v>
      </c>
    </row>
    <row r="69" spans="1:7" x14ac:dyDescent="0.45">
      <c r="A69" s="6" t="s">
        <v>71</v>
      </c>
      <c r="B69" s="6" t="s">
        <v>101</v>
      </c>
      <c r="C69" s="6" t="str">
        <f t="shared" ref="C69:C134" si="2">IF(C$1="F",E69,IF(C$1="I",F69,IF(C$1="E",G69,D69)))</f>
        <v>PLZ, Ort</v>
      </c>
      <c r="D69" s="11" t="s">
        <v>40</v>
      </c>
      <c r="E69" s="12" t="s">
        <v>323</v>
      </c>
      <c r="F69" s="13" t="s">
        <v>685</v>
      </c>
      <c r="G69" s="14" t="s">
        <v>917</v>
      </c>
    </row>
    <row r="70" spans="1:7" x14ac:dyDescent="0.45">
      <c r="A70" s="6" t="s">
        <v>71</v>
      </c>
      <c r="B70" s="6" t="s">
        <v>101</v>
      </c>
      <c r="C70" s="6" t="str">
        <f t="shared" si="2"/>
        <v xml:space="preserve">Kanton </v>
      </c>
      <c r="D70" s="11" t="s">
        <v>569</v>
      </c>
      <c r="E70" s="12" t="s">
        <v>596</v>
      </c>
      <c r="F70" s="13" t="s">
        <v>615</v>
      </c>
      <c r="G70" s="14" t="s">
        <v>596</v>
      </c>
    </row>
    <row r="71" spans="1:7" x14ac:dyDescent="0.45">
      <c r="A71" s="6" t="s">
        <v>71</v>
      </c>
      <c r="B71" s="6" t="s">
        <v>101</v>
      </c>
      <c r="C71" s="6" t="str">
        <f t="shared" si="2"/>
        <v>Aargau</v>
      </c>
      <c r="D71" s="11" t="s">
        <v>570</v>
      </c>
      <c r="E71" s="12" t="s">
        <v>597</v>
      </c>
      <c r="F71" s="13" t="s">
        <v>616</v>
      </c>
      <c r="G71" s="14" t="s">
        <v>570</v>
      </c>
    </row>
    <row r="72" spans="1:7" x14ac:dyDescent="0.45">
      <c r="A72" s="6" t="s">
        <v>71</v>
      </c>
      <c r="B72" s="6" t="s">
        <v>101</v>
      </c>
      <c r="C72" s="6" t="str">
        <f t="shared" si="2"/>
        <v>Appenzell Ausserrhoden</v>
      </c>
      <c r="D72" s="11" t="s">
        <v>571</v>
      </c>
      <c r="E72" s="12" t="s">
        <v>598</v>
      </c>
      <c r="F72" s="13" t="s">
        <v>1155</v>
      </c>
      <c r="G72" s="14" t="s">
        <v>636</v>
      </c>
    </row>
    <row r="73" spans="1:7" x14ac:dyDescent="0.45">
      <c r="A73" s="6" t="s">
        <v>71</v>
      </c>
      <c r="B73" s="6" t="s">
        <v>101</v>
      </c>
      <c r="C73" s="6" t="str">
        <f t="shared" si="2"/>
        <v>Appenzell Innerrhoden</v>
      </c>
      <c r="D73" s="11" t="s">
        <v>572</v>
      </c>
      <c r="E73" s="12" t="s">
        <v>599</v>
      </c>
      <c r="F73" s="13" t="s">
        <v>1367</v>
      </c>
      <c r="G73" s="14" t="s">
        <v>637</v>
      </c>
    </row>
    <row r="74" spans="1:7" x14ac:dyDescent="0.45">
      <c r="A74" s="6" t="s">
        <v>71</v>
      </c>
      <c r="B74" s="6" t="s">
        <v>101</v>
      </c>
      <c r="C74" s="6" t="str">
        <f t="shared" si="2"/>
        <v>Basel-Landschaft</v>
      </c>
      <c r="D74" s="11" t="s">
        <v>573</v>
      </c>
      <c r="E74" s="12" t="s">
        <v>600</v>
      </c>
      <c r="F74" s="13" t="s">
        <v>617</v>
      </c>
      <c r="G74" s="14" t="s">
        <v>638</v>
      </c>
    </row>
    <row r="75" spans="1:7" x14ac:dyDescent="0.45">
      <c r="A75" s="6" t="s">
        <v>71</v>
      </c>
      <c r="B75" s="6" t="s">
        <v>101</v>
      </c>
      <c r="C75" s="6" t="str">
        <f t="shared" si="2"/>
        <v>Basel-Stadt</v>
      </c>
      <c r="D75" s="11" t="s">
        <v>574</v>
      </c>
      <c r="E75" s="12" t="s">
        <v>1067</v>
      </c>
      <c r="F75" s="13" t="s">
        <v>618</v>
      </c>
      <c r="G75" s="14" t="s">
        <v>639</v>
      </c>
    </row>
    <row r="76" spans="1:7" x14ac:dyDescent="0.45">
      <c r="A76" s="6" t="s">
        <v>71</v>
      </c>
      <c r="B76" s="6" t="s">
        <v>101</v>
      </c>
      <c r="C76" s="6" t="str">
        <f t="shared" si="2"/>
        <v>Bern</v>
      </c>
      <c r="D76" s="11" t="s">
        <v>575</v>
      </c>
      <c r="E76" s="12" t="s">
        <v>601</v>
      </c>
      <c r="F76" s="13" t="s">
        <v>619</v>
      </c>
      <c r="G76" s="14" t="s">
        <v>575</v>
      </c>
    </row>
    <row r="77" spans="1:7" x14ac:dyDescent="0.45">
      <c r="A77" s="6" t="s">
        <v>71</v>
      </c>
      <c r="B77" s="6" t="s">
        <v>101</v>
      </c>
      <c r="C77" s="6" t="str">
        <f t="shared" si="2"/>
        <v>Freiburg</v>
      </c>
      <c r="D77" s="11" t="s">
        <v>576</v>
      </c>
      <c r="E77" s="12" t="s">
        <v>602</v>
      </c>
      <c r="F77" s="13" t="s">
        <v>620</v>
      </c>
      <c r="G77" s="14" t="s">
        <v>576</v>
      </c>
    </row>
    <row r="78" spans="1:7" x14ac:dyDescent="0.45">
      <c r="A78" s="6" t="s">
        <v>71</v>
      </c>
      <c r="B78" s="6" t="s">
        <v>101</v>
      </c>
      <c r="C78" s="6" t="str">
        <f t="shared" si="2"/>
        <v>Genf</v>
      </c>
      <c r="D78" s="11" t="s">
        <v>577</v>
      </c>
      <c r="E78" s="12" t="s">
        <v>603</v>
      </c>
      <c r="F78" s="13" t="s">
        <v>621</v>
      </c>
      <c r="G78" s="14" t="s">
        <v>640</v>
      </c>
    </row>
    <row r="79" spans="1:7" x14ac:dyDescent="0.45">
      <c r="A79" s="6" t="s">
        <v>71</v>
      </c>
      <c r="B79" s="6" t="s">
        <v>101</v>
      </c>
      <c r="C79" s="6" t="str">
        <f t="shared" si="2"/>
        <v>Glarus</v>
      </c>
      <c r="D79" s="11" t="s">
        <v>578</v>
      </c>
      <c r="E79" s="12" t="s">
        <v>578</v>
      </c>
      <c r="F79" s="13" t="s">
        <v>622</v>
      </c>
      <c r="G79" s="14" t="s">
        <v>578</v>
      </c>
    </row>
    <row r="80" spans="1:7" x14ac:dyDescent="0.45">
      <c r="A80" s="6" t="s">
        <v>71</v>
      </c>
      <c r="B80" s="6" t="s">
        <v>101</v>
      </c>
      <c r="C80" s="6" t="str">
        <f t="shared" si="2"/>
        <v>Graubünden</v>
      </c>
      <c r="D80" s="11" t="s">
        <v>579</v>
      </c>
      <c r="E80" s="12" t="s">
        <v>604</v>
      </c>
      <c r="F80" s="13" t="s">
        <v>623</v>
      </c>
      <c r="G80" s="14" t="s">
        <v>604</v>
      </c>
    </row>
    <row r="81" spans="1:7" x14ac:dyDescent="0.45">
      <c r="A81" s="6" t="s">
        <v>71</v>
      </c>
      <c r="B81" s="6" t="s">
        <v>101</v>
      </c>
      <c r="C81" s="6" t="str">
        <f t="shared" si="2"/>
        <v>Jura</v>
      </c>
      <c r="D81" s="11" t="s">
        <v>580</v>
      </c>
      <c r="E81" s="12" t="s">
        <v>580</v>
      </c>
      <c r="F81" s="13" t="s">
        <v>624</v>
      </c>
      <c r="G81" s="14" t="s">
        <v>580</v>
      </c>
    </row>
    <row r="82" spans="1:7" x14ac:dyDescent="0.45">
      <c r="A82" s="6" t="s">
        <v>71</v>
      </c>
      <c r="B82" s="6" t="s">
        <v>101</v>
      </c>
      <c r="C82" s="6" t="str">
        <f t="shared" si="2"/>
        <v>Luzern</v>
      </c>
      <c r="D82" s="11" t="s">
        <v>581</v>
      </c>
      <c r="E82" s="12" t="s">
        <v>605</v>
      </c>
      <c r="F82" s="13" t="s">
        <v>625</v>
      </c>
      <c r="G82" s="14" t="s">
        <v>605</v>
      </c>
    </row>
    <row r="83" spans="1:7" x14ac:dyDescent="0.45">
      <c r="A83" s="6" t="s">
        <v>71</v>
      </c>
      <c r="B83" s="6" t="s">
        <v>101</v>
      </c>
      <c r="C83" s="6" t="str">
        <f t="shared" si="2"/>
        <v>Neuenburg</v>
      </c>
      <c r="D83" s="11" t="s">
        <v>582</v>
      </c>
      <c r="E83" s="12" t="s">
        <v>606</v>
      </c>
      <c r="F83" s="13" t="s">
        <v>606</v>
      </c>
      <c r="G83" s="14" t="s">
        <v>606</v>
      </c>
    </row>
    <row r="84" spans="1:7" x14ac:dyDescent="0.45">
      <c r="A84" s="6" t="s">
        <v>71</v>
      </c>
      <c r="B84" s="6" t="s">
        <v>101</v>
      </c>
      <c r="C84" s="6" t="str">
        <f t="shared" si="2"/>
        <v>Nidwalden</v>
      </c>
      <c r="D84" s="11" t="s">
        <v>583</v>
      </c>
      <c r="E84" s="12" t="s">
        <v>1068</v>
      </c>
      <c r="F84" s="13" t="s">
        <v>626</v>
      </c>
      <c r="G84" s="14" t="s">
        <v>583</v>
      </c>
    </row>
    <row r="85" spans="1:7" x14ac:dyDescent="0.45">
      <c r="A85" s="6" t="s">
        <v>71</v>
      </c>
      <c r="B85" s="6" t="s">
        <v>101</v>
      </c>
      <c r="C85" s="6" t="str">
        <f t="shared" si="2"/>
        <v>Obwalden</v>
      </c>
      <c r="D85" s="11" t="s">
        <v>584</v>
      </c>
      <c r="E85" s="12" t="s">
        <v>607</v>
      </c>
      <c r="F85" s="13" t="s">
        <v>627</v>
      </c>
      <c r="G85" s="14" t="s">
        <v>584</v>
      </c>
    </row>
    <row r="86" spans="1:7" x14ac:dyDescent="0.45">
      <c r="A86" s="6" t="s">
        <v>71</v>
      </c>
      <c r="B86" s="6" t="s">
        <v>101</v>
      </c>
      <c r="C86" s="6" t="str">
        <f t="shared" si="2"/>
        <v>Schaffhausen</v>
      </c>
      <c r="D86" s="11" t="s">
        <v>585</v>
      </c>
      <c r="E86" s="12" t="s">
        <v>608</v>
      </c>
      <c r="F86" s="13" t="s">
        <v>628</v>
      </c>
      <c r="G86" s="14" t="s">
        <v>585</v>
      </c>
    </row>
    <row r="87" spans="1:7" x14ac:dyDescent="0.45">
      <c r="A87" s="6" t="s">
        <v>71</v>
      </c>
      <c r="B87" s="6" t="s">
        <v>101</v>
      </c>
      <c r="C87" s="6" t="str">
        <f t="shared" si="2"/>
        <v>Schwyz</v>
      </c>
      <c r="D87" s="11" t="s">
        <v>586</v>
      </c>
      <c r="E87" s="12" t="s">
        <v>586</v>
      </c>
      <c r="F87" s="13" t="s">
        <v>629</v>
      </c>
      <c r="G87" s="14" t="s">
        <v>586</v>
      </c>
    </row>
    <row r="88" spans="1:7" x14ac:dyDescent="0.45">
      <c r="A88" s="6" t="s">
        <v>71</v>
      </c>
      <c r="B88" s="6" t="s">
        <v>101</v>
      </c>
      <c r="C88" s="6" t="str">
        <f t="shared" si="2"/>
        <v>Solothurn</v>
      </c>
      <c r="D88" s="11" t="s">
        <v>587</v>
      </c>
      <c r="E88" s="12" t="s">
        <v>609</v>
      </c>
      <c r="F88" s="13" t="s">
        <v>630</v>
      </c>
      <c r="G88" s="14" t="s">
        <v>587</v>
      </c>
    </row>
    <row r="89" spans="1:7" x14ac:dyDescent="0.45">
      <c r="A89" s="6" t="s">
        <v>71</v>
      </c>
      <c r="B89" s="6" t="s">
        <v>101</v>
      </c>
      <c r="C89" s="6" t="str">
        <f t="shared" si="2"/>
        <v>St. Gallen</v>
      </c>
      <c r="D89" s="11" t="s">
        <v>588</v>
      </c>
      <c r="E89" s="12" t="s">
        <v>610</v>
      </c>
      <c r="F89" s="13" t="s">
        <v>631</v>
      </c>
      <c r="G89" s="14" t="s">
        <v>588</v>
      </c>
    </row>
    <row r="90" spans="1:7" x14ac:dyDescent="0.45">
      <c r="A90" s="6" t="s">
        <v>71</v>
      </c>
      <c r="B90" s="6" t="s">
        <v>101</v>
      </c>
      <c r="C90" s="6" t="str">
        <f t="shared" si="2"/>
        <v>Tessin</v>
      </c>
      <c r="D90" s="11" t="s">
        <v>589</v>
      </c>
      <c r="E90" s="12" t="s">
        <v>589</v>
      </c>
      <c r="F90" s="13" t="s">
        <v>632</v>
      </c>
      <c r="G90" s="14" t="s">
        <v>632</v>
      </c>
    </row>
    <row r="91" spans="1:7" x14ac:dyDescent="0.45">
      <c r="A91" s="6" t="s">
        <v>71</v>
      </c>
      <c r="B91" s="6" t="s">
        <v>101</v>
      </c>
      <c r="C91" s="6" t="str">
        <f t="shared" si="2"/>
        <v>Thurgau</v>
      </c>
      <c r="D91" s="11" t="s">
        <v>590</v>
      </c>
      <c r="E91" s="12" t="s">
        <v>611</v>
      </c>
      <c r="F91" s="13" t="s">
        <v>633</v>
      </c>
      <c r="G91" s="14" t="s">
        <v>590</v>
      </c>
    </row>
    <row r="92" spans="1:7" x14ac:dyDescent="0.45">
      <c r="A92" s="6" t="s">
        <v>71</v>
      </c>
      <c r="B92" s="6" t="s">
        <v>101</v>
      </c>
      <c r="C92" s="6" t="str">
        <f t="shared" si="2"/>
        <v>Uri</v>
      </c>
      <c r="D92" s="11" t="s">
        <v>591</v>
      </c>
      <c r="E92" s="12" t="s">
        <v>591</v>
      </c>
      <c r="F92" s="13" t="s">
        <v>591</v>
      </c>
      <c r="G92" s="14" t="s">
        <v>591</v>
      </c>
    </row>
    <row r="93" spans="1:7" x14ac:dyDescent="0.45">
      <c r="A93" s="6" t="s">
        <v>71</v>
      </c>
      <c r="B93" s="6" t="s">
        <v>101</v>
      </c>
      <c r="C93" s="6" t="str">
        <f t="shared" si="2"/>
        <v>Waadt</v>
      </c>
      <c r="D93" s="11" t="s">
        <v>592</v>
      </c>
      <c r="E93" s="12" t="s">
        <v>612</v>
      </c>
      <c r="F93" s="13" t="s">
        <v>612</v>
      </c>
      <c r="G93" s="14" t="s">
        <v>612</v>
      </c>
    </row>
    <row r="94" spans="1:7" x14ac:dyDescent="0.45">
      <c r="A94" s="6" t="s">
        <v>71</v>
      </c>
      <c r="B94" s="6" t="s">
        <v>101</v>
      </c>
      <c r="C94" s="6" t="str">
        <f t="shared" si="2"/>
        <v>Wallis</v>
      </c>
      <c r="D94" s="11" t="s">
        <v>593</v>
      </c>
      <c r="E94" s="12" t="s">
        <v>613</v>
      </c>
      <c r="F94" s="13" t="s">
        <v>634</v>
      </c>
      <c r="G94" s="14" t="s">
        <v>613</v>
      </c>
    </row>
    <row r="95" spans="1:7" x14ac:dyDescent="0.45">
      <c r="A95" s="6" t="s">
        <v>71</v>
      </c>
      <c r="B95" s="6" t="s">
        <v>101</v>
      </c>
      <c r="C95" s="6" t="str">
        <f t="shared" si="2"/>
        <v>Zug</v>
      </c>
      <c r="D95" s="11" t="s">
        <v>594</v>
      </c>
      <c r="E95" s="12" t="s">
        <v>641</v>
      </c>
      <c r="F95" s="13" t="s">
        <v>642</v>
      </c>
      <c r="G95" s="14" t="s">
        <v>594</v>
      </c>
    </row>
    <row r="96" spans="1:7" x14ac:dyDescent="0.45">
      <c r="A96" s="6" t="s">
        <v>71</v>
      </c>
      <c r="B96" s="6" t="s">
        <v>101</v>
      </c>
      <c r="C96" s="6" t="str">
        <f t="shared" si="2"/>
        <v>Zürich</v>
      </c>
      <c r="D96" s="11" t="s">
        <v>595</v>
      </c>
      <c r="E96" s="12" t="s">
        <v>614</v>
      </c>
      <c r="F96" s="13" t="s">
        <v>635</v>
      </c>
      <c r="G96" s="14" t="s">
        <v>614</v>
      </c>
    </row>
    <row r="97" spans="1:7" x14ac:dyDescent="0.45">
      <c r="A97" s="6" t="s">
        <v>71</v>
      </c>
      <c r="B97" s="6" t="s">
        <v>101</v>
      </c>
      <c r="C97" s="6" t="str">
        <f t="shared" si="2"/>
        <v>Klimaregion</v>
      </c>
      <c r="D97" s="11" t="s">
        <v>76</v>
      </c>
      <c r="E97" s="12" t="s">
        <v>354</v>
      </c>
      <c r="F97" s="13" t="s">
        <v>732</v>
      </c>
      <c r="G97" s="14" t="s">
        <v>887</v>
      </c>
    </row>
    <row r="98" spans="1:7" x14ac:dyDescent="0.45">
      <c r="A98" s="6" t="s">
        <v>71</v>
      </c>
      <c r="B98" s="6" t="s">
        <v>101</v>
      </c>
      <c r="C98" s="6" t="str">
        <f t="shared" si="2"/>
        <v>Mittelland</v>
      </c>
      <c r="D98" s="11" t="s">
        <v>79</v>
      </c>
      <c r="E98" s="12" t="s">
        <v>355</v>
      </c>
      <c r="F98" s="13" t="s">
        <v>1156</v>
      </c>
      <c r="G98" s="14" t="s">
        <v>888</v>
      </c>
    </row>
    <row r="99" spans="1:7" x14ac:dyDescent="0.45">
      <c r="A99" s="6" t="s">
        <v>71</v>
      </c>
      <c r="B99" s="6" t="s">
        <v>101</v>
      </c>
      <c r="C99" s="6" t="str">
        <f t="shared" si="2"/>
        <v>Bergregion</v>
      </c>
      <c r="D99" s="11" t="s">
        <v>80</v>
      </c>
      <c r="E99" s="12" t="s">
        <v>356</v>
      </c>
      <c r="F99" s="13" t="s">
        <v>733</v>
      </c>
      <c r="G99" s="14" t="s">
        <v>889</v>
      </c>
    </row>
    <row r="100" spans="1:7" x14ac:dyDescent="0.45">
      <c r="A100" s="6" t="s">
        <v>71</v>
      </c>
      <c r="B100" s="6" t="s">
        <v>101</v>
      </c>
      <c r="C100" s="6" t="str">
        <f t="shared" si="2"/>
        <v>Südschweiz</v>
      </c>
      <c r="D100" s="11" t="s">
        <v>81</v>
      </c>
      <c r="E100" s="12" t="s">
        <v>357</v>
      </c>
      <c r="F100" s="13" t="s">
        <v>734</v>
      </c>
      <c r="G100" s="14" t="s">
        <v>890</v>
      </c>
    </row>
    <row r="101" spans="1:7" x14ac:dyDescent="0.45">
      <c r="A101" s="6" t="s">
        <v>71</v>
      </c>
      <c r="B101" s="6" t="s">
        <v>101</v>
      </c>
      <c r="C101" s="6" t="str">
        <f t="shared" si="2"/>
        <v>Höhe (m. ü. M.)</v>
      </c>
      <c r="D101" s="11" t="s">
        <v>1140</v>
      </c>
      <c r="E101" s="12" t="s">
        <v>358</v>
      </c>
      <c r="F101" s="13" t="s">
        <v>736</v>
      </c>
      <c r="G101" s="14" t="s">
        <v>891</v>
      </c>
    </row>
    <row r="102" spans="1:7" x14ac:dyDescent="0.45">
      <c r="A102" s="6" t="s">
        <v>71</v>
      </c>
      <c r="B102" s="6" t="s">
        <v>101</v>
      </c>
      <c r="C102" s="6" t="str">
        <f t="shared" si="2"/>
        <v>Heizgradtage</v>
      </c>
      <c r="D102" s="11" t="s">
        <v>77</v>
      </c>
      <c r="E102" s="12" t="s">
        <v>359</v>
      </c>
      <c r="F102" s="13" t="s">
        <v>735</v>
      </c>
      <c r="G102" s="14" t="s">
        <v>892</v>
      </c>
    </row>
    <row r="103" spans="1:7" x14ac:dyDescent="0.45">
      <c r="A103" s="6" t="s">
        <v>71</v>
      </c>
      <c r="B103" s="6" t="s">
        <v>103</v>
      </c>
      <c r="C103" s="6" t="str">
        <f t="shared" si="2"/>
        <v>A06. Geplante Kosten (in CHF exkl. MwSt.)</v>
      </c>
      <c r="D103" s="11" t="s">
        <v>73</v>
      </c>
      <c r="E103" s="12" t="s">
        <v>360</v>
      </c>
      <c r="F103" s="13" t="s">
        <v>738</v>
      </c>
      <c r="G103" s="14" t="s">
        <v>928</v>
      </c>
    </row>
    <row r="104" spans="1:7" x14ac:dyDescent="0.45">
      <c r="A104" s="6" t="s">
        <v>71</v>
      </c>
      <c r="B104" s="6" t="s">
        <v>103</v>
      </c>
      <c r="C104" s="6" t="str">
        <f t="shared" si="2"/>
        <v>Förderung durch:</v>
      </c>
      <c r="D104" s="11" t="s">
        <v>677</v>
      </c>
      <c r="E104" s="12" t="s">
        <v>1069</v>
      </c>
      <c r="F104" s="13" t="s">
        <v>737</v>
      </c>
      <c r="G104" s="14" t="s">
        <v>893</v>
      </c>
    </row>
    <row r="105" spans="1:7" x14ac:dyDescent="0.45">
      <c r="A105" s="6" t="s">
        <v>71</v>
      </c>
      <c r="B105" s="6" t="s">
        <v>103</v>
      </c>
      <c r="C105" s="6" t="str">
        <f>IF(C$1="F",E105,IF(C$1="I",F105,IF(C$1="E",G105,D105)))</f>
        <v>Keine</v>
      </c>
      <c r="D105" s="11" t="s">
        <v>1123</v>
      </c>
      <c r="E105" s="12" t="s">
        <v>1347</v>
      </c>
      <c r="F105" s="13" t="s">
        <v>1126</v>
      </c>
      <c r="G105" s="14" t="s">
        <v>1124</v>
      </c>
    </row>
    <row r="106" spans="1:7" x14ac:dyDescent="0.45">
      <c r="A106" s="6" t="s">
        <v>71</v>
      </c>
      <c r="B106" s="6" t="s">
        <v>103</v>
      </c>
      <c r="C106" s="6" t="str">
        <f t="shared" si="2"/>
        <v>Kanton</v>
      </c>
      <c r="D106" s="11" t="s">
        <v>78</v>
      </c>
      <c r="E106" s="12" t="s">
        <v>596</v>
      </c>
      <c r="F106" s="13" t="s">
        <v>615</v>
      </c>
      <c r="G106" s="14" t="s">
        <v>894</v>
      </c>
    </row>
    <row r="107" spans="1:7" x14ac:dyDescent="0.45">
      <c r="A107" s="6" t="s">
        <v>71</v>
      </c>
      <c r="B107" s="6" t="s">
        <v>103</v>
      </c>
      <c r="C107" s="6" t="str">
        <f t="shared" si="2"/>
        <v>Energie Zukunft Schweiz</v>
      </c>
      <c r="D107" s="11" t="s">
        <v>678</v>
      </c>
      <c r="E107" s="12" t="s">
        <v>1070</v>
      </c>
      <c r="F107" s="13" t="s">
        <v>678</v>
      </c>
      <c r="G107" s="14" t="s">
        <v>678</v>
      </c>
    </row>
    <row r="108" spans="1:7" x14ac:dyDescent="0.45">
      <c r="A108" s="6" t="s">
        <v>71</v>
      </c>
      <c r="B108" s="6" t="s">
        <v>103</v>
      </c>
      <c r="C108" s="6" t="str">
        <f t="shared" si="2"/>
        <v>Sonstige:</v>
      </c>
      <c r="D108" s="11" t="s">
        <v>48</v>
      </c>
      <c r="E108" s="12" t="s">
        <v>1055</v>
      </c>
      <c r="F108" s="13" t="s">
        <v>695</v>
      </c>
      <c r="G108" s="14" t="s">
        <v>864</v>
      </c>
    </row>
    <row r="109" spans="1:7" x14ac:dyDescent="0.45">
      <c r="A109" s="6" t="s">
        <v>71</v>
      </c>
      <c r="B109" s="6" t="s">
        <v>103</v>
      </c>
      <c r="C109" s="6" t="str">
        <f t="shared" si="2"/>
        <v>Kesselanlage</v>
      </c>
      <c r="D109" s="11" t="s">
        <v>297</v>
      </c>
      <c r="E109" s="12" t="s">
        <v>366</v>
      </c>
      <c r="F109" s="13" t="s">
        <v>743</v>
      </c>
      <c r="G109" s="14" t="s">
        <v>895</v>
      </c>
    </row>
    <row r="110" spans="1:7" x14ac:dyDescent="0.45">
      <c r="A110" s="6" t="s">
        <v>71</v>
      </c>
      <c r="B110" s="6" t="s">
        <v>103</v>
      </c>
      <c r="C110" s="6" t="str">
        <f t="shared" si="2"/>
        <v>Heizungstechnikinstallation</v>
      </c>
      <c r="D110" s="11" t="s">
        <v>82</v>
      </c>
      <c r="E110" s="12" t="s">
        <v>361</v>
      </c>
      <c r="F110" s="13" t="s">
        <v>739</v>
      </c>
      <c r="G110" s="14" t="s">
        <v>920</v>
      </c>
    </row>
    <row r="111" spans="1:7" x14ac:dyDescent="0.45">
      <c r="A111" s="6" t="s">
        <v>71</v>
      </c>
      <c r="B111" s="6" t="s">
        <v>103</v>
      </c>
      <c r="C111" s="6" t="str">
        <f t="shared" si="2"/>
        <v>Elektroinstallation</v>
      </c>
      <c r="D111" s="11" t="s">
        <v>83</v>
      </c>
      <c r="E111" s="12" t="s">
        <v>362</v>
      </c>
      <c r="F111" s="13" t="s">
        <v>740</v>
      </c>
      <c r="G111" s="14" t="s">
        <v>896</v>
      </c>
    </row>
    <row r="112" spans="1:7" x14ac:dyDescent="0.45">
      <c r="A112" s="6" t="s">
        <v>71</v>
      </c>
      <c r="B112" s="6" t="s">
        <v>103</v>
      </c>
      <c r="C112" s="6" t="str">
        <f t="shared" si="2"/>
        <v>Bauliche Massnahmen</v>
      </c>
      <c r="D112" s="11" t="s">
        <v>154</v>
      </c>
      <c r="E112" s="12" t="s">
        <v>1071</v>
      </c>
      <c r="F112" s="13" t="s">
        <v>744</v>
      </c>
      <c r="G112" s="14" t="s">
        <v>921</v>
      </c>
    </row>
    <row r="113" spans="1:7" x14ac:dyDescent="0.45">
      <c r="A113" s="6" t="s">
        <v>71</v>
      </c>
      <c r="B113" s="6" t="s">
        <v>103</v>
      </c>
      <c r="C113" s="6" t="str">
        <f t="shared" si="2"/>
        <v>Wärmenetz</v>
      </c>
      <c r="D113" s="11" t="s">
        <v>23</v>
      </c>
      <c r="E113" s="12" t="s">
        <v>1056</v>
      </c>
      <c r="F113" s="13" t="s">
        <v>700</v>
      </c>
      <c r="G113" s="14" t="s">
        <v>869</v>
      </c>
    </row>
    <row r="114" spans="1:7" x14ac:dyDescent="0.45">
      <c r="A114" s="6" t="s">
        <v>71</v>
      </c>
      <c r="B114" s="6" t="s">
        <v>103</v>
      </c>
      <c r="C114" s="6" t="str">
        <f t="shared" si="2"/>
        <v>Planung</v>
      </c>
      <c r="D114" s="11" t="s">
        <v>84</v>
      </c>
      <c r="E114" s="12" t="s">
        <v>363</v>
      </c>
      <c r="F114" s="13" t="s">
        <v>741</v>
      </c>
      <c r="G114" s="14" t="s">
        <v>897</v>
      </c>
    </row>
    <row r="115" spans="1:7" x14ac:dyDescent="0.45">
      <c r="A115" s="6" t="s">
        <v>71</v>
      </c>
      <c r="B115" s="6" t="s">
        <v>103</v>
      </c>
      <c r="C115" s="6" t="str">
        <f t="shared" si="2"/>
        <v>Sonstiges</v>
      </c>
      <c r="D115" s="11" t="s">
        <v>85</v>
      </c>
      <c r="E115" s="12" t="s">
        <v>364</v>
      </c>
      <c r="F115" s="13" t="s">
        <v>694</v>
      </c>
      <c r="G115" s="14" t="s">
        <v>898</v>
      </c>
    </row>
    <row r="116" spans="1:7" ht="23.15" x14ac:dyDescent="0.45">
      <c r="A116" s="6" t="s">
        <v>71</v>
      </c>
      <c r="B116" s="6" t="s">
        <v>103</v>
      </c>
      <c r="C116" s="6" t="str">
        <f t="shared" si="2"/>
        <v>(inkl. Beschickung, Rauchgasreinigung, Mess- und Regelungstechnik und Kamin)</v>
      </c>
      <c r="D116" s="11" t="s">
        <v>98</v>
      </c>
      <c r="E116" s="12" t="s">
        <v>1072</v>
      </c>
      <c r="F116" s="13" t="s">
        <v>1157</v>
      </c>
      <c r="G116" s="14" t="s">
        <v>922</v>
      </c>
    </row>
    <row r="117" spans="1:7" x14ac:dyDescent="0.45">
      <c r="A117" s="6" t="s">
        <v>71</v>
      </c>
      <c r="B117" s="6" t="s">
        <v>103</v>
      </c>
      <c r="C117" s="6" t="str">
        <f t="shared" si="2"/>
        <v>(Heizhaus und Brennstofflager)</v>
      </c>
      <c r="D117" s="11" t="s">
        <v>97</v>
      </c>
      <c r="E117" s="12" t="s">
        <v>1073</v>
      </c>
      <c r="F117" s="13" t="s">
        <v>1158</v>
      </c>
      <c r="G117" s="14" t="s">
        <v>923</v>
      </c>
    </row>
    <row r="118" spans="1:7" x14ac:dyDescent="0.45">
      <c r="A118" s="6" t="s">
        <v>71</v>
      </c>
      <c r="B118" s="6" t="s">
        <v>103</v>
      </c>
      <c r="C118" s="6" t="str">
        <f t="shared" si="2"/>
        <v>(Grabungsarbeiten, Rohrleitungen und Übergabestationen)</v>
      </c>
      <c r="D118" s="11" t="s">
        <v>96</v>
      </c>
      <c r="E118" s="12" t="s">
        <v>1074</v>
      </c>
      <c r="F118" s="13" t="s">
        <v>1372</v>
      </c>
      <c r="G118" s="14" t="s">
        <v>899</v>
      </c>
    </row>
    <row r="119" spans="1:7" x14ac:dyDescent="0.45">
      <c r="A119" s="6" t="s">
        <v>71</v>
      </c>
      <c r="B119" s="6" t="s">
        <v>103</v>
      </c>
      <c r="C119" s="6" t="str">
        <f t="shared" si="2"/>
        <v>Gesamt-Investitionskosten</v>
      </c>
      <c r="D119" s="11" t="s">
        <v>86</v>
      </c>
      <c r="E119" s="12" t="s">
        <v>365</v>
      </c>
      <c r="F119" s="13" t="s">
        <v>742</v>
      </c>
      <c r="G119" s="14" t="s">
        <v>900</v>
      </c>
    </row>
    <row r="120" spans="1:7" x14ac:dyDescent="0.45">
      <c r="A120" s="6" t="s">
        <v>71</v>
      </c>
      <c r="B120" s="6" t="s">
        <v>104</v>
      </c>
      <c r="C120" s="6" t="str">
        <f t="shared" si="2"/>
        <v>A07. Technische Daten</v>
      </c>
      <c r="D120" s="11" t="s">
        <v>74</v>
      </c>
      <c r="E120" s="12" t="s">
        <v>371</v>
      </c>
      <c r="F120" s="13" t="s">
        <v>745</v>
      </c>
      <c r="G120" s="14" t="s">
        <v>924</v>
      </c>
    </row>
    <row r="121" spans="1:7" x14ac:dyDescent="0.45">
      <c r="A121" s="6" t="s">
        <v>71</v>
      </c>
      <c r="B121" s="6" t="s">
        <v>104</v>
      </c>
      <c r="C121" s="6" t="str">
        <f t="shared" si="2"/>
        <v>Wärmenetz</v>
      </c>
      <c r="D121" s="11" t="s">
        <v>23</v>
      </c>
      <c r="E121" s="12" t="s">
        <v>1056</v>
      </c>
      <c r="F121" s="13" t="s">
        <v>700</v>
      </c>
      <c r="G121" s="14" t="s">
        <v>869</v>
      </c>
    </row>
    <row r="122" spans="1:7" x14ac:dyDescent="0.45">
      <c r="A122" s="6" t="s">
        <v>71</v>
      </c>
      <c r="B122" s="6" t="s">
        <v>104</v>
      </c>
      <c r="C122" s="6" t="str">
        <f t="shared" si="2"/>
        <v>Ganzjahresbetrieb</v>
      </c>
      <c r="D122" s="11" t="s">
        <v>25</v>
      </c>
      <c r="E122" s="12" t="s">
        <v>1075</v>
      </c>
      <c r="F122" s="13" t="s">
        <v>702</v>
      </c>
      <c r="G122" s="14" t="s">
        <v>871</v>
      </c>
    </row>
    <row r="123" spans="1:7" x14ac:dyDescent="0.45">
      <c r="A123" s="6" t="s">
        <v>71</v>
      </c>
      <c r="B123" s="6" t="s">
        <v>104</v>
      </c>
      <c r="C123" s="6" t="str">
        <f t="shared" si="2"/>
        <v>Speicher</v>
      </c>
      <c r="D123" s="11" t="s">
        <v>26</v>
      </c>
      <c r="E123" s="12" t="s">
        <v>335</v>
      </c>
      <c r="F123" s="13" t="s">
        <v>703</v>
      </c>
      <c r="G123" s="14" t="s">
        <v>937</v>
      </c>
    </row>
    <row r="124" spans="1:7" x14ac:dyDescent="0.45">
      <c r="A124" s="6" t="s">
        <v>71</v>
      </c>
      <c r="B124" s="6" t="s">
        <v>104</v>
      </c>
      <c r="C124" s="6" t="str">
        <f t="shared" si="2"/>
        <v>Zusätzliche erneuerbare Energieträger oder Systeme</v>
      </c>
      <c r="D124" s="11" t="s">
        <v>1223</v>
      </c>
      <c r="E124" s="12" t="s">
        <v>1221</v>
      </c>
      <c r="F124" s="13" t="s">
        <v>1373</v>
      </c>
      <c r="G124" s="14" t="s">
        <v>1222</v>
      </c>
    </row>
    <row r="125" spans="1:7" x14ac:dyDescent="0.45">
      <c r="A125" s="6" t="s">
        <v>71</v>
      </c>
      <c r="B125" s="6" t="s">
        <v>104</v>
      </c>
      <c r="C125" s="6" t="str">
        <f t="shared" si="2"/>
        <v>Kesselkonfiguration</v>
      </c>
      <c r="D125" s="11" t="s">
        <v>87</v>
      </c>
      <c r="E125" s="12" t="s">
        <v>369</v>
      </c>
      <c r="F125" s="13" t="s">
        <v>748</v>
      </c>
      <c r="G125" s="14" t="s">
        <v>901</v>
      </c>
    </row>
    <row r="126" spans="1:7" x14ac:dyDescent="0.45">
      <c r="A126" s="6" t="s">
        <v>71</v>
      </c>
      <c r="B126" s="6" t="s">
        <v>104</v>
      </c>
      <c r="C126" s="6" t="str">
        <f t="shared" si="2"/>
        <v>Brennstoffauswahl</v>
      </c>
      <c r="D126" s="11" t="s">
        <v>88</v>
      </c>
      <c r="E126" s="12" t="s">
        <v>370</v>
      </c>
      <c r="F126" s="13" t="s">
        <v>747</v>
      </c>
      <c r="G126" s="14" t="s">
        <v>902</v>
      </c>
    </row>
    <row r="127" spans="1:7" ht="23.15" x14ac:dyDescent="0.45">
      <c r="A127" s="6" t="s">
        <v>71</v>
      </c>
      <c r="B127" s="6" t="s">
        <v>104</v>
      </c>
      <c r="C127" s="6" t="str">
        <f t="shared" si="2"/>
        <v>**Holzhackschnitzel mit Wassergehalt M &gt; 35% sind für Seriengeräte nicht geeignet.</v>
      </c>
      <c r="D127" s="11" t="s">
        <v>855</v>
      </c>
      <c r="E127" s="12" t="s">
        <v>1076</v>
      </c>
      <c r="F127" s="13" t="s">
        <v>1159</v>
      </c>
      <c r="G127" s="14" t="s">
        <v>943</v>
      </c>
    </row>
    <row r="128" spans="1:7" x14ac:dyDescent="0.45">
      <c r="A128" s="6" t="s">
        <v>71</v>
      </c>
      <c r="B128" s="6" t="s">
        <v>104</v>
      </c>
      <c r="C128" s="6" t="str">
        <f t="shared" si="2"/>
        <v>sind für Seriengeräte nicht geeignet.</v>
      </c>
      <c r="D128" s="11" t="s">
        <v>676</v>
      </c>
      <c r="E128" s="12" t="s">
        <v>1077</v>
      </c>
      <c r="F128" s="13" t="s">
        <v>1160</v>
      </c>
      <c r="G128" s="14" t="s">
        <v>944</v>
      </c>
    </row>
    <row r="129" spans="1:7" x14ac:dyDescent="0.45">
      <c r="A129" s="6" t="s">
        <v>71</v>
      </c>
      <c r="B129" s="6" t="s">
        <v>104</v>
      </c>
      <c r="C129" s="6" t="str">
        <f t="shared" si="2"/>
        <v>Betriebsstunden</v>
      </c>
      <c r="D129" s="11" t="s">
        <v>94</v>
      </c>
      <c r="E129" s="12" t="s">
        <v>368</v>
      </c>
      <c r="F129" s="13" t="s">
        <v>746</v>
      </c>
      <c r="G129" s="14" t="s">
        <v>903</v>
      </c>
    </row>
    <row r="130" spans="1:7" x14ac:dyDescent="0.45">
      <c r="A130" s="6" t="s">
        <v>71</v>
      </c>
      <c r="B130" s="6" t="s">
        <v>104</v>
      </c>
      <c r="C130" s="6" t="str">
        <f t="shared" si="2"/>
        <v>Stunden</v>
      </c>
      <c r="D130" s="11" t="s">
        <v>95</v>
      </c>
      <c r="E130" s="12" t="s">
        <v>1078</v>
      </c>
      <c r="F130" s="13" t="s">
        <v>1161</v>
      </c>
      <c r="G130" s="14" t="s">
        <v>925</v>
      </c>
    </row>
    <row r="131" spans="1:7" x14ac:dyDescent="0.45">
      <c r="A131" s="6" t="s">
        <v>71</v>
      </c>
      <c r="B131" s="6" t="s">
        <v>104</v>
      </c>
      <c r="C131" s="6" t="str">
        <f t="shared" si="2"/>
        <v>Stunden (anpassen an Klimaregion)</v>
      </c>
      <c r="D131" s="11" t="s">
        <v>1225</v>
      </c>
      <c r="E131" s="12" t="s">
        <v>1226</v>
      </c>
      <c r="F131" s="13" t="s">
        <v>1374</v>
      </c>
      <c r="G131" s="14" t="s">
        <v>1227</v>
      </c>
    </row>
    <row r="132" spans="1:7" x14ac:dyDescent="0.45">
      <c r="A132" s="6" t="s">
        <v>71</v>
      </c>
      <c r="B132" s="6" t="s">
        <v>104</v>
      </c>
      <c r="C132" s="6" t="str">
        <f t="shared" si="2"/>
        <v>Einkesselanlage</v>
      </c>
      <c r="D132" s="11" t="s">
        <v>91</v>
      </c>
      <c r="E132" s="12" t="s">
        <v>372</v>
      </c>
      <c r="F132" s="13" t="s">
        <v>1162</v>
      </c>
      <c r="G132" s="14" t="s">
        <v>904</v>
      </c>
    </row>
    <row r="133" spans="1:7" x14ac:dyDescent="0.45">
      <c r="A133" s="6" t="s">
        <v>71</v>
      </c>
      <c r="B133" s="6" t="s">
        <v>104</v>
      </c>
      <c r="C133" s="6" t="str">
        <f t="shared" si="2"/>
        <v>Mehrkesselanlage</v>
      </c>
      <c r="D133" s="11" t="s">
        <v>92</v>
      </c>
      <c r="E133" s="12" t="s">
        <v>373</v>
      </c>
      <c r="F133" s="13" t="s">
        <v>749</v>
      </c>
      <c r="G133" s="14" t="s">
        <v>945</v>
      </c>
    </row>
    <row r="134" spans="1:7" x14ac:dyDescent="0.45">
      <c r="A134" s="6" t="s">
        <v>71</v>
      </c>
      <c r="B134" s="6" t="s">
        <v>104</v>
      </c>
      <c r="C134" s="6" t="str">
        <f t="shared" si="2"/>
        <v>Feinstaubabscheider</v>
      </c>
      <c r="D134" s="11" t="s">
        <v>848</v>
      </c>
      <c r="E134" s="12" t="s">
        <v>849</v>
      </c>
      <c r="F134" s="13" t="s">
        <v>1163</v>
      </c>
      <c r="G134" s="14" t="s">
        <v>905</v>
      </c>
    </row>
    <row r="135" spans="1:7" x14ac:dyDescent="0.45">
      <c r="A135" s="6" t="s">
        <v>71</v>
      </c>
      <c r="B135" s="6" t="s">
        <v>104</v>
      </c>
      <c r="C135" s="6" t="str">
        <f t="shared" ref="C135:C204" si="3">IF(C$1="F",E135,IF(C$1="I",F135,IF(C$1="E",G135,D135)))</f>
        <v>Elektroabscheider integriert</v>
      </c>
      <c r="D135" s="11" t="s">
        <v>845</v>
      </c>
      <c r="E135" s="12" t="s">
        <v>1079</v>
      </c>
      <c r="F135" s="13" t="s">
        <v>1164</v>
      </c>
      <c r="G135" s="14" t="s">
        <v>906</v>
      </c>
    </row>
    <row r="136" spans="1:7" x14ac:dyDescent="0.45">
      <c r="A136" s="6" t="s">
        <v>71</v>
      </c>
      <c r="B136" s="6" t="s">
        <v>104</v>
      </c>
      <c r="C136" s="6" t="str">
        <f t="shared" si="3"/>
        <v>Elektroabscheider separat</v>
      </c>
      <c r="D136" s="11" t="s">
        <v>846</v>
      </c>
      <c r="E136" s="12" t="s">
        <v>1080</v>
      </c>
      <c r="F136" s="13" t="s">
        <v>1165</v>
      </c>
      <c r="G136" s="14" t="s">
        <v>907</v>
      </c>
    </row>
    <row r="137" spans="1:7" x14ac:dyDescent="0.45">
      <c r="A137" s="6" t="s">
        <v>71</v>
      </c>
      <c r="B137" s="6" t="s">
        <v>104</v>
      </c>
      <c r="C137" s="6" t="str">
        <f t="shared" si="3"/>
        <v>kein Abscheider vorgesehen*</v>
      </c>
      <c r="D137" s="11" t="s">
        <v>850</v>
      </c>
      <c r="E137" s="12" t="s">
        <v>851</v>
      </c>
      <c r="F137" s="13" t="s">
        <v>1166</v>
      </c>
      <c r="G137" s="14" t="s">
        <v>908</v>
      </c>
    </row>
    <row r="138" spans="1:7" x14ac:dyDescent="0.45">
      <c r="A138" s="6" t="s">
        <v>71</v>
      </c>
      <c r="B138" s="6" t="s">
        <v>104</v>
      </c>
      <c r="C138" s="6" t="str">
        <f t="shared" si="3"/>
        <v>Sonstige:</v>
      </c>
      <c r="D138" s="11" t="s">
        <v>48</v>
      </c>
      <c r="E138" s="12" t="s">
        <v>1055</v>
      </c>
      <c r="F138" s="13" t="s">
        <v>695</v>
      </c>
      <c r="G138" s="14" t="s">
        <v>864</v>
      </c>
    </row>
    <row r="139" spans="1:7" x14ac:dyDescent="0.45">
      <c r="A139" s="6" t="s">
        <v>71</v>
      </c>
      <c r="B139" s="6" t="s">
        <v>104</v>
      </c>
      <c r="C139" s="6" t="str">
        <f t="shared" si="3"/>
        <v>*Empfehlung:</v>
      </c>
      <c r="D139" s="11" t="s">
        <v>1287</v>
      </c>
      <c r="E139" s="12" t="s">
        <v>1290</v>
      </c>
      <c r="F139" s="13" t="s">
        <v>1293</v>
      </c>
      <c r="G139" s="14" t="s">
        <v>1296</v>
      </c>
    </row>
    <row r="140" spans="1:7" x14ac:dyDescent="0.45">
      <c r="A140" s="6" t="s">
        <v>71</v>
      </c>
      <c r="B140" s="6" t="s">
        <v>104</v>
      </c>
      <c r="C140" s="6" t="str">
        <f t="shared" si="3"/>
        <v>Platz für Nachrüstung vorsehen.</v>
      </c>
      <c r="D140" s="11" t="s">
        <v>1288</v>
      </c>
      <c r="E140" s="12" t="s">
        <v>1291</v>
      </c>
      <c r="F140" s="13" t="s">
        <v>1294</v>
      </c>
      <c r="G140" s="14" t="s">
        <v>1297</v>
      </c>
    </row>
    <row r="141" spans="1:7" ht="23.15" x14ac:dyDescent="0.45">
      <c r="A141" s="6" t="s">
        <v>71</v>
      </c>
      <c r="B141" s="6" t="s">
        <v>104</v>
      </c>
      <c r="C141" s="6" t="str">
        <f t="shared" si="3"/>
        <v>Bestätigen lassen, dass die Feinstaubgrenzwerte eingehalten werden können.</v>
      </c>
      <c r="D141" s="11" t="s">
        <v>1289</v>
      </c>
      <c r="E141" s="12" t="s">
        <v>1292</v>
      </c>
      <c r="F141" s="13" t="s">
        <v>1295</v>
      </c>
      <c r="G141" s="14" t="s">
        <v>1298</v>
      </c>
    </row>
    <row r="142" spans="1:7" x14ac:dyDescent="0.45">
      <c r="A142" s="6" t="s">
        <v>71</v>
      </c>
      <c r="B142" s="6" t="s">
        <v>104</v>
      </c>
      <c r="C142" s="6" t="str">
        <f t="shared" si="3"/>
        <v>Pellets</v>
      </c>
      <c r="D142" s="11" t="s">
        <v>93</v>
      </c>
      <c r="E142" s="12" t="s">
        <v>1081</v>
      </c>
      <c r="F142" s="13" t="s">
        <v>750</v>
      </c>
      <c r="G142" s="14" t="s">
        <v>93</v>
      </c>
    </row>
    <row r="143" spans="1:7" x14ac:dyDescent="0.45">
      <c r="A143" s="6" t="s">
        <v>71</v>
      </c>
      <c r="B143" s="6" t="s">
        <v>104</v>
      </c>
      <c r="C143" s="6" t="str">
        <f t="shared" si="3"/>
        <v>Holzhackschnitzel, tiefer Winter M &lt; 50%, sonst M &lt; 35%**</v>
      </c>
      <c r="D143" s="11" t="s">
        <v>852</v>
      </c>
      <c r="E143" s="12" t="s">
        <v>853</v>
      </c>
      <c r="F143" s="13" t="s">
        <v>854</v>
      </c>
      <c r="G143" s="14" t="s">
        <v>909</v>
      </c>
    </row>
    <row r="144" spans="1:7" x14ac:dyDescent="0.45">
      <c r="A144" s="6" t="s">
        <v>71</v>
      </c>
      <c r="B144" s="6" t="s">
        <v>104</v>
      </c>
      <c r="C144" s="6" t="str">
        <f t="shared" si="3"/>
        <v>Holzhackschnitzel, ganzjährig M &lt; 35%</v>
      </c>
      <c r="D144" s="11" t="s">
        <v>673</v>
      </c>
      <c r="E144" s="12" t="s">
        <v>674</v>
      </c>
      <c r="F144" s="13" t="s">
        <v>1375</v>
      </c>
      <c r="G144" s="14" t="s">
        <v>910</v>
      </c>
    </row>
    <row r="145" spans="1:7" x14ac:dyDescent="0.45">
      <c r="A145" s="6" t="s">
        <v>105</v>
      </c>
      <c r="C145" s="6" t="str">
        <f t="shared" si="3"/>
        <v>Seite 3</v>
      </c>
      <c r="D145" s="11" t="s">
        <v>105</v>
      </c>
      <c r="E145" s="12" t="s">
        <v>351</v>
      </c>
      <c r="F145" s="13" t="s">
        <v>751</v>
      </c>
      <c r="G145" s="14" t="s">
        <v>351</v>
      </c>
    </row>
    <row r="146" spans="1:7" x14ac:dyDescent="0.45">
      <c r="A146" s="6" t="s">
        <v>105</v>
      </c>
      <c r="B146" s="6" t="s">
        <v>140</v>
      </c>
      <c r="C146" s="6" t="str">
        <f t="shared" si="3"/>
        <v>A08. Situationserfassung</v>
      </c>
      <c r="D146" s="11" t="s">
        <v>129</v>
      </c>
      <c r="E146" s="12" t="s">
        <v>376</v>
      </c>
      <c r="F146" s="13" t="s">
        <v>754</v>
      </c>
      <c r="G146" s="14" t="s">
        <v>911</v>
      </c>
    </row>
    <row r="147" spans="1:7" x14ac:dyDescent="0.45">
      <c r="A147" s="6" t="s">
        <v>105</v>
      </c>
      <c r="B147" s="6" t="s">
        <v>140</v>
      </c>
      <c r="C147" s="6" t="str">
        <f t="shared" si="3"/>
        <v>Kunde</v>
      </c>
      <c r="D147" s="11" t="s">
        <v>829</v>
      </c>
      <c r="E147" s="12" t="s">
        <v>377</v>
      </c>
      <c r="F147" s="13" t="s">
        <v>756</v>
      </c>
      <c r="G147" s="14" t="s">
        <v>929</v>
      </c>
    </row>
    <row r="148" spans="1:7" x14ac:dyDescent="0.45">
      <c r="A148" s="6" t="s">
        <v>105</v>
      </c>
      <c r="B148" s="6" t="s">
        <v>140</v>
      </c>
      <c r="C148" s="6" t="str">
        <f t="shared" si="3"/>
        <v>Nr.</v>
      </c>
      <c r="D148" s="11" t="s">
        <v>141</v>
      </c>
      <c r="E148" s="12" t="s">
        <v>374</v>
      </c>
      <c r="F148" s="13" t="s">
        <v>752</v>
      </c>
      <c r="G148" s="14" t="s">
        <v>752</v>
      </c>
    </row>
    <row r="149" spans="1:7" x14ac:dyDescent="0.45">
      <c r="A149" s="6" t="s">
        <v>105</v>
      </c>
      <c r="B149" s="6" t="s">
        <v>140</v>
      </c>
      <c r="C149" s="6" t="str">
        <f t="shared" si="3"/>
        <v>Objekt</v>
      </c>
      <c r="D149" s="11" t="s">
        <v>106</v>
      </c>
      <c r="E149" s="12" t="s">
        <v>375</v>
      </c>
      <c r="F149" s="13" t="s">
        <v>753</v>
      </c>
      <c r="G149" s="14" t="s">
        <v>912</v>
      </c>
    </row>
    <row r="150" spans="1:7" x14ac:dyDescent="0.45">
      <c r="A150" s="6" t="s">
        <v>105</v>
      </c>
      <c r="B150" s="6" t="s">
        <v>140</v>
      </c>
      <c r="C150" s="6" t="str">
        <f t="shared" si="3"/>
        <v>Gebäude- bzw.</v>
      </c>
      <c r="D150" s="11" t="s">
        <v>109</v>
      </c>
      <c r="E150" s="12" t="s">
        <v>378</v>
      </c>
      <c r="F150" s="13" t="s">
        <v>757</v>
      </c>
      <c r="G150" s="14" t="s">
        <v>913</v>
      </c>
    </row>
    <row r="151" spans="1:7" x14ac:dyDescent="0.45">
      <c r="A151" s="6" t="s">
        <v>105</v>
      </c>
      <c r="B151" s="6" t="s">
        <v>140</v>
      </c>
      <c r="C151" s="6" t="str">
        <f t="shared" si="3"/>
        <v>Nutzungsart</v>
      </c>
      <c r="D151" s="11" t="s">
        <v>110</v>
      </c>
      <c r="E151" s="12" t="s">
        <v>379</v>
      </c>
      <c r="F151" s="13" t="s">
        <v>758</v>
      </c>
      <c r="G151" s="14" t="s">
        <v>914</v>
      </c>
    </row>
    <row r="152" spans="1:7" x14ac:dyDescent="0.45">
      <c r="A152" s="6" t="s">
        <v>105</v>
      </c>
      <c r="B152" s="6" t="s">
        <v>140</v>
      </c>
      <c r="C152" s="6" t="str">
        <f t="shared" si="3"/>
        <v>Gebäude</v>
      </c>
      <c r="D152" s="11" t="s">
        <v>1042</v>
      </c>
      <c r="E152" s="12" t="s">
        <v>1043</v>
      </c>
      <c r="F152" s="13" t="s">
        <v>1046</v>
      </c>
      <c r="G152" s="14" t="s">
        <v>1049</v>
      </c>
    </row>
    <row r="153" spans="1:7" x14ac:dyDescent="0.45">
      <c r="A153" s="6" t="s">
        <v>105</v>
      </c>
      <c r="B153" s="6" t="s">
        <v>140</v>
      </c>
      <c r="C153" s="6" t="str">
        <f t="shared" si="3"/>
        <v>Bestand</v>
      </c>
      <c r="D153" s="11" t="s">
        <v>229</v>
      </c>
      <c r="E153" s="12" t="s">
        <v>1044</v>
      </c>
      <c r="F153" s="13" t="s">
        <v>1047</v>
      </c>
      <c r="G153" s="14" t="s">
        <v>1050</v>
      </c>
    </row>
    <row r="154" spans="1:7" x14ac:dyDescent="0.45">
      <c r="A154" s="6" t="s">
        <v>105</v>
      </c>
      <c r="B154" s="6" t="s">
        <v>140</v>
      </c>
      <c r="C154" s="6" t="str">
        <f t="shared" si="3"/>
        <v>Neubau</v>
      </c>
      <c r="D154" s="11" t="s">
        <v>228</v>
      </c>
      <c r="E154" s="12" t="s">
        <v>1045</v>
      </c>
      <c r="F154" s="13" t="s">
        <v>1048</v>
      </c>
      <c r="G154" s="14" t="s">
        <v>1051</v>
      </c>
    </row>
    <row r="155" spans="1:7" x14ac:dyDescent="0.45">
      <c r="A155" s="6" t="s">
        <v>105</v>
      </c>
      <c r="B155" s="6" t="s">
        <v>140</v>
      </c>
      <c r="C155" s="6" t="str">
        <f t="shared" si="3"/>
        <v>Wohnen mit WW</v>
      </c>
      <c r="D155" s="11" t="s">
        <v>119</v>
      </c>
      <c r="E155" s="12" t="s">
        <v>1082</v>
      </c>
      <c r="F155" s="13" t="s">
        <v>759</v>
      </c>
      <c r="G155" s="14" t="s">
        <v>946</v>
      </c>
    </row>
    <row r="156" spans="1:7" x14ac:dyDescent="0.45">
      <c r="A156" s="6" t="s">
        <v>105</v>
      </c>
      <c r="B156" s="6" t="s">
        <v>140</v>
      </c>
      <c r="C156" s="6" t="str">
        <f t="shared" si="3"/>
        <v>Wohnen o. WW</v>
      </c>
      <c r="D156" s="11" t="s">
        <v>120</v>
      </c>
      <c r="E156" s="12" t="s">
        <v>1083</v>
      </c>
      <c r="F156" s="13" t="s">
        <v>760</v>
      </c>
      <c r="G156" s="14" t="s">
        <v>1017</v>
      </c>
    </row>
    <row r="157" spans="1:7" x14ac:dyDescent="0.45">
      <c r="A157" s="6" t="s">
        <v>105</v>
      </c>
      <c r="B157" s="6" t="s">
        <v>140</v>
      </c>
      <c r="C157" s="6" t="str">
        <f t="shared" si="3"/>
        <v>Schule o. WW</v>
      </c>
      <c r="D157" s="11" t="s">
        <v>121</v>
      </c>
      <c r="E157" s="12" t="s">
        <v>1084</v>
      </c>
      <c r="F157" s="13" t="s">
        <v>761</v>
      </c>
      <c r="G157" s="14" t="s">
        <v>1018</v>
      </c>
    </row>
    <row r="158" spans="1:7" x14ac:dyDescent="0.45">
      <c r="A158" s="6" t="s">
        <v>105</v>
      </c>
      <c r="B158" s="6" t="s">
        <v>140</v>
      </c>
      <c r="C158" s="6" t="str">
        <f t="shared" si="3"/>
        <v>Verwaltung o. WW</v>
      </c>
      <c r="D158" s="11" t="s">
        <v>122</v>
      </c>
      <c r="E158" s="12" t="s">
        <v>1085</v>
      </c>
      <c r="F158" s="13" t="s">
        <v>762</v>
      </c>
      <c r="G158" s="14" t="s">
        <v>1019</v>
      </c>
    </row>
    <row r="159" spans="1:7" x14ac:dyDescent="0.45">
      <c r="A159" s="6" t="s">
        <v>105</v>
      </c>
      <c r="B159" s="6" t="s">
        <v>140</v>
      </c>
      <c r="C159" s="6" t="str">
        <f t="shared" si="3"/>
        <v>WW separat</v>
      </c>
      <c r="D159" s="11" t="s">
        <v>123</v>
      </c>
      <c r="E159" s="12" t="s">
        <v>380</v>
      </c>
      <c r="F159" s="13" t="s">
        <v>1368</v>
      </c>
      <c r="G159" s="14" t="s">
        <v>1006</v>
      </c>
    </row>
    <row r="160" spans="1:7" x14ac:dyDescent="0.45">
      <c r="A160" s="6" t="s">
        <v>105</v>
      </c>
      <c r="B160" s="6" t="s">
        <v>140</v>
      </c>
      <c r="C160" s="6" t="str">
        <f t="shared" si="3"/>
        <v>wenig</v>
      </c>
      <c r="D160" s="11" t="s">
        <v>124</v>
      </c>
      <c r="E160" s="12" t="s">
        <v>766</v>
      </c>
      <c r="F160" s="13" t="s">
        <v>765</v>
      </c>
      <c r="G160" s="14" t="s">
        <v>1007</v>
      </c>
    </row>
    <row r="161" spans="1:7" x14ac:dyDescent="0.45">
      <c r="A161" s="6" t="s">
        <v>105</v>
      </c>
      <c r="B161" s="6" t="s">
        <v>140</v>
      </c>
      <c r="C161" s="6" t="str">
        <f t="shared" si="3"/>
        <v>gut</v>
      </c>
      <c r="D161" s="11" t="s">
        <v>125</v>
      </c>
      <c r="E161" s="12" t="s">
        <v>1349</v>
      </c>
      <c r="F161" s="13" t="s">
        <v>763</v>
      </c>
      <c r="G161" s="14" t="s">
        <v>1008</v>
      </c>
    </row>
    <row r="162" spans="1:7" x14ac:dyDescent="0.45">
      <c r="A162" s="6" t="s">
        <v>105</v>
      </c>
      <c r="B162" s="6" t="s">
        <v>140</v>
      </c>
      <c r="C162" s="6" t="str">
        <f t="shared" si="3"/>
        <v>sehr gut</v>
      </c>
      <c r="D162" s="11" t="s">
        <v>126</v>
      </c>
      <c r="E162" s="12" t="s">
        <v>1350</v>
      </c>
      <c r="F162" s="13" t="s">
        <v>764</v>
      </c>
      <c r="G162" s="14" t="s">
        <v>947</v>
      </c>
    </row>
    <row r="163" spans="1:7" x14ac:dyDescent="0.45">
      <c r="A163" s="6" t="s">
        <v>105</v>
      </c>
      <c r="B163" s="6" t="s">
        <v>140</v>
      </c>
      <c r="C163" s="6" t="str">
        <f t="shared" si="3"/>
        <v>Wärme-</v>
      </c>
      <c r="D163" s="11" t="s">
        <v>138</v>
      </c>
      <c r="E163" s="12" t="s">
        <v>381</v>
      </c>
      <c r="F163" s="13" t="s">
        <v>769</v>
      </c>
      <c r="G163" s="14" t="s">
        <v>1023</v>
      </c>
    </row>
    <row r="164" spans="1:7" x14ac:dyDescent="0.45">
      <c r="A164" s="6" t="s">
        <v>105</v>
      </c>
      <c r="B164" s="6" t="s">
        <v>140</v>
      </c>
      <c r="C164" s="6" t="str">
        <f t="shared" si="3"/>
        <v>dämmung</v>
      </c>
      <c r="D164" s="11" t="s">
        <v>137</v>
      </c>
      <c r="E164" s="12" t="s">
        <v>382</v>
      </c>
      <c r="F164" s="13" t="s">
        <v>770</v>
      </c>
      <c r="G164" s="14" t="s">
        <v>948</v>
      </c>
    </row>
    <row r="165" spans="1:7" x14ac:dyDescent="0.45">
      <c r="A165" s="6" t="s">
        <v>105</v>
      </c>
      <c r="B165" s="6" t="s">
        <v>140</v>
      </c>
      <c r="C165" s="6" t="str">
        <f t="shared" si="3"/>
        <v>Ja/Nein</v>
      </c>
      <c r="D165" s="11" t="s">
        <v>111</v>
      </c>
      <c r="E165" s="12" t="s">
        <v>367</v>
      </c>
      <c r="F165" s="13" t="s">
        <v>772</v>
      </c>
      <c r="G165" s="14" t="s">
        <v>949</v>
      </c>
    </row>
    <row r="166" spans="1:7" x14ac:dyDescent="0.45">
      <c r="A166" s="6" t="s">
        <v>105</v>
      </c>
      <c r="B166" s="6" t="s">
        <v>140</v>
      </c>
      <c r="C166" s="6" t="str">
        <f t="shared" si="3"/>
        <v>Am Netz</v>
      </c>
      <c r="D166" s="11" t="s">
        <v>143</v>
      </c>
      <c r="E166" s="12" t="s">
        <v>383</v>
      </c>
      <c r="F166" s="13" t="s">
        <v>771</v>
      </c>
      <c r="G166" s="14" t="s">
        <v>1038</v>
      </c>
    </row>
    <row r="167" spans="1:7" x14ac:dyDescent="0.45">
      <c r="A167" s="6" t="s">
        <v>105</v>
      </c>
      <c r="B167" s="6" t="s">
        <v>140</v>
      </c>
      <c r="C167" s="6" t="str">
        <f t="shared" si="3"/>
        <v>Leistung</v>
      </c>
      <c r="D167" s="11" t="s">
        <v>113</v>
      </c>
      <c r="E167" s="12" t="s">
        <v>384</v>
      </c>
      <c r="F167" s="13" t="s">
        <v>773</v>
      </c>
      <c r="G167" s="14" t="s">
        <v>1039</v>
      </c>
    </row>
    <row r="168" spans="1:7" x14ac:dyDescent="0.45">
      <c r="A168" s="6" t="s">
        <v>105</v>
      </c>
      <c r="B168" s="6" t="s">
        <v>140</v>
      </c>
      <c r="C168" s="6" t="str">
        <f t="shared" si="3"/>
        <v>Energie-</v>
      </c>
      <c r="D168" s="11" t="s">
        <v>1206</v>
      </c>
      <c r="E168" s="12" t="s">
        <v>1198</v>
      </c>
      <c r="F168" s="13" t="s">
        <v>1200</v>
      </c>
      <c r="G168" s="14" t="s">
        <v>1207</v>
      </c>
    </row>
    <row r="169" spans="1:7" x14ac:dyDescent="0.45">
      <c r="A169" s="6" t="s">
        <v>105</v>
      </c>
      <c r="B169" s="6" t="s">
        <v>140</v>
      </c>
      <c r="C169" s="6" t="str">
        <f t="shared" si="3"/>
        <v>bezugs-</v>
      </c>
      <c r="D169" s="11" t="s">
        <v>1205</v>
      </c>
      <c r="E169" s="12" t="s">
        <v>1199</v>
      </c>
      <c r="F169" s="13" t="s">
        <v>1201</v>
      </c>
      <c r="G169" s="14" t="s">
        <v>1208</v>
      </c>
    </row>
    <row r="170" spans="1:7" x14ac:dyDescent="0.45">
      <c r="A170" s="6" t="s">
        <v>105</v>
      </c>
      <c r="B170" s="6" t="s">
        <v>140</v>
      </c>
      <c r="C170" s="6" t="str">
        <f t="shared" si="3"/>
        <v>fläche</v>
      </c>
      <c r="D170" s="11" t="s">
        <v>1202</v>
      </c>
      <c r="E170" s="12" t="s">
        <v>1197</v>
      </c>
      <c r="F170" s="13" t="s">
        <v>1204</v>
      </c>
      <c r="G170" s="14" t="s">
        <v>1203</v>
      </c>
    </row>
    <row r="171" spans="1:7" x14ac:dyDescent="0.45">
      <c r="A171" s="6" t="s">
        <v>105</v>
      </c>
      <c r="B171" s="6" t="s">
        <v>140</v>
      </c>
      <c r="C171" s="6" t="str">
        <f t="shared" si="3"/>
        <v>Jahres-</v>
      </c>
      <c r="D171" s="11" t="s">
        <v>1185</v>
      </c>
      <c r="E171" s="12" t="s">
        <v>1192</v>
      </c>
      <c r="F171" s="13" t="s">
        <v>1193</v>
      </c>
      <c r="G171" s="14" t="s">
        <v>1196</v>
      </c>
    </row>
    <row r="172" spans="1:7" x14ac:dyDescent="0.45">
      <c r="A172" s="6" t="s">
        <v>105</v>
      </c>
      <c r="B172" s="6" t="s">
        <v>140</v>
      </c>
      <c r="C172" s="6" t="str">
        <f t="shared" si="3"/>
        <v>wärme-</v>
      </c>
      <c r="D172" s="11" t="s">
        <v>1190</v>
      </c>
      <c r="E172" s="12" t="s">
        <v>1191</v>
      </c>
      <c r="F172" s="13" t="s">
        <v>1194</v>
      </c>
      <c r="G172" s="14" t="s">
        <v>1195</v>
      </c>
    </row>
    <row r="173" spans="1:7" x14ac:dyDescent="0.45">
      <c r="A173" s="6" t="s">
        <v>105</v>
      </c>
      <c r="B173" s="6" t="s">
        <v>140</v>
      </c>
      <c r="C173" s="6" t="str">
        <f t="shared" si="3"/>
        <v>bedarf</v>
      </c>
      <c r="D173" s="11" t="s">
        <v>1189</v>
      </c>
      <c r="E173" s="12" t="s">
        <v>1186</v>
      </c>
      <c r="F173" s="13" t="s">
        <v>1187</v>
      </c>
      <c r="G173" s="14" t="s">
        <v>1188</v>
      </c>
    </row>
    <row r="174" spans="1:7" x14ac:dyDescent="0.45">
      <c r="A174" s="6" t="s">
        <v>105</v>
      </c>
      <c r="B174" s="6" t="s">
        <v>140</v>
      </c>
      <c r="C174" s="6" t="str">
        <f t="shared" si="3"/>
        <v>davon WW</v>
      </c>
      <c r="D174" s="11" t="s">
        <v>145</v>
      </c>
      <c r="E174" s="12" t="s">
        <v>386</v>
      </c>
      <c r="F174" s="13" t="s">
        <v>775</v>
      </c>
      <c r="G174" s="14" t="s">
        <v>1040</v>
      </c>
    </row>
    <row r="175" spans="1:7" x14ac:dyDescent="0.45">
      <c r="A175" s="6" t="s">
        <v>105</v>
      </c>
      <c r="B175" s="6" t="s">
        <v>140</v>
      </c>
      <c r="C175" s="6" t="str">
        <f t="shared" si="3"/>
        <v>Summe</v>
      </c>
      <c r="D175" s="11" t="s">
        <v>118</v>
      </c>
      <c r="E175" s="12" t="s">
        <v>387</v>
      </c>
      <c r="F175" s="13" t="s">
        <v>768</v>
      </c>
      <c r="G175" s="14" t="s">
        <v>387</v>
      </c>
    </row>
    <row r="176" spans="1:7" x14ac:dyDescent="0.45">
      <c r="A176" s="6" t="s">
        <v>105</v>
      </c>
      <c r="B176" s="6" t="s">
        <v>140</v>
      </c>
      <c r="C176" s="6" t="str">
        <f t="shared" si="3"/>
        <v>Wärmeverteilverluste</v>
      </c>
      <c r="D176" s="11" t="s">
        <v>1119</v>
      </c>
      <c r="E176" s="12" t="s">
        <v>388</v>
      </c>
      <c r="F176" s="13" t="s">
        <v>776</v>
      </c>
      <c r="G176" s="14" t="s">
        <v>962</v>
      </c>
    </row>
    <row r="177" spans="1:7" x14ac:dyDescent="0.45">
      <c r="A177" s="6" t="s">
        <v>105</v>
      </c>
      <c r="B177" s="6" t="s">
        <v>140</v>
      </c>
      <c r="C177" s="6" t="str">
        <f t="shared" si="3"/>
        <v>Reserve:</v>
      </c>
      <c r="D177" s="11" t="s">
        <v>127</v>
      </c>
      <c r="E177" s="12" t="s">
        <v>1086</v>
      </c>
      <c r="F177" s="13" t="s">
        <v>1167</v>
      </c>
      <c r="G177" s="14" t="s">
        <v>127</v>
      </c>
    </row>
    <row r="178" spans="1:7" x14ac:dyDescent="0.45">
      <c r="A178" s="6" t="s">
        <v>105</v>
      </c>
      <c r="B178" s="6" t="s">
        <v>140</v>
      </c>
      <c r="C178" s="6" t="str">
        <f t="shared" si="3"/>
        <v>Gesamtsumme</v>
      </c>
      <c r="D178" s="11" t="s">
        <v>128</v>
      </c>
      <c r="E178" s="12" t="s">
        <v>389</v>
      </c>
      <c r="F178" s="13" t="s">
        <v>768</v>
      </c>
      <c r="G178" s="14" t="s">
        <v>950</v>
      </c>
    </row>
    <row r="179" spans="1:7" x14ac:dyDescent="0.45">
      <c r="A179" s="6" t="s">
        <v>105</v>
      </c>
      <c r="B179" s="6" t="s">
        <v>146</v>
      </c>
      <c r="C179" s="6" t="str">
        <f t="shared" si="3"/>
        <v>A09. Berechnete Kennzahlen und Richtwerte</v>
      </c>
      <c r="D179" s="11" t="s">
        <v>130</v>
      </c>
      <c r="E179" s="12" t="s">
        <v>1087</v>
      </c>
      <c r="F179" s="13" t="s">
        <v>779</v>
      </c>
      <c r="G179" s="14" t="s">
        <v>951</v>
      </c>
    </row>
    <row r="180" spans="1:7" x14ac:dyDescent="0.45">
      <c r="A180" s="6" t="s">
        <v>105</v>
      </c>
      <c r="B180" s="6" t="s">
        <v>146</v>
      </c>
      <c r="C180" s="6" t="str">
        <f t="shared" si="3"/>
        <v>Berechnete Kennzahlen</v>
      </c>
      <c r="D180" s="11" t="s">
        <v>131</v>
      </c>
      <c r="E180" s="12" t="s">
        <v>1088</v>
      </c>
      <c r="F180" s="13" t="s">
        <v>777</v>
      </c>
      <c r="G180" s="14" t="s">
        <v>952</v>
      </c>
    </row>
    <row r="181" spans="1:7" x14ac:dyDescent="0.45">
      <c r="A181" s="6" t="s">
        <v>105</v>
      </c>
      <c r="B181" s="6" t="s">
        <v>146</v>
      </c>
      <c r="C181" s="6" t="str">
        <f t="shared" si="3"/>
        <v>Richtwerte gemäss Tabelle</v>
      </c>
      <c r="D181" s="11" t="s">
        <v>136</v>
      </c>
      <c r="E181" s="12" t="s">
        <v>1089</v>
      </c>
      <c r="F181" s="13" t="s">
        <v>778</v>
      </c>
      <c r="G181" s="14" t="s">
        <v>953</v>
      </c>
    </row>
    <row r="182" spans="1:7" x14ac:dyDescent="0.45">
      <c r="A182" s="6" t="s">
        <v>105</v>
      </c>
      <c r="B182" s="6" t="s">
        <v>146</v>
      </c>
      <c r="C182" s="6" t="str">
        <f t="shared" si="3"/>
        <v>Vollbetriebs-</v>
      </c>
      <c r="D182" s="11" t="s">
        <v>135</v>
      </c>
      <c r="E182" s="12" t="s">
        <v>390</v>
      </c>
      <c r="F182" s="13" t="s">
        <v>746</v>
      </c>
      <c r="G182" s="14" t="s">
        <v>954</v>
      </c>
    </row>
    <row r="183" spans="1:7" x14ac:dyDescent="0.45">
      <c r="A183" s="6" t="s">
        <v>105</v>
      </c>
      <c r="B183" s="6" t="s">
        <v>146</v>
      </c>
      <c r="C183" s="6" t="str">
        <f t="shared" si="3"/>
        <v>stundenzahl</v>
      </c>
      <c r="D183" s="11" t="s">
        <v>134</v>
      </c>
      <c r="E183" s="12" t="s">
        <v>391</v>
      </c>
      <c r="F183" s="250" t="s">
        <v>780</v>
      </c>
      <c r="G183" s="14" t="s">
        <v>955</v>
      </c>
    </row>
    <row r="184" spans="1:7" x14ac:dyDescent="0.45">
      <c r="A184" s="6" t="s">
        <v>105</v>
      </c>
      <c r="B184" s="6" t="s">
        <v>140</v>
      </c>
      <c r="C184" s="6" t="str">
        <f t="shared" si="3"/>
        <v>Reserve: Alle Angaben ausfüllen</v>
      </c>
      <c r="D184" s="11" t="s">
        <v>1442</v>
      </c>
      <c r="E184" s="12" t="s">
        <v>1444</v>
      </c>
      <c r="F184" s="13" t="s">
        <v>1443</v>
      </c>
      <c r="G184" s="14" t="s">
        <v>1445</v>
      </c>
    </row>
    <row r="185" spans="1:7" x14ac:dyDescent="0.45">
      <c r="A185" s="6" t="s">
        <v>105</v>
      </c>
      <c r="B185" s="6" t="s">
        <v>146</v>
      </c>
      <c r="C185" s="6" t="str">
        <f t="shared" si="3"/>
        <v>Kontrolle</v>
      </c>
      <c r="D185" s="11" t="s">
        <v>139</v>
      </c>
      <c r="E185" s="12" t="s">
        <v>1090</v>
      </c>
      <c r="F185" s="13" t="s">
        <v>781</v>
      </c>
      <c r="G185" s="14" t="s">
        <v>956</v>
      </c>
    </row>
    <row r="186" spans="1:7" x14ac:dyDescent="0.45">
      <c r="A186" s="6" t="s">
        <v>105</v>
      </c>
      <c r="B186" s="6" t="s">
        <v>146</v>
      </c>
      <c r="C186" s="6" t="str">
        <f t="shared" si="3"/>
        <v>Begründung:</v>
      </c>
      <c r="D186" s="11" t="s">
        <v>311</v>
      </c>
      <c r="E186" s="12" t="s">
        <v>1091</v>
      </c>
      <c r="F186" s="13" t="s">
        <v>782</v>
      </c>
      <c r="G186" s="14" t="s">
        <v>398</v>
      </c>
    </row>
    <row r="187" spans="1:7" x14ac:dyDescent="0.45">
      <c r="A187" s="6" t="s">
        <v>147</v>
      </c>
      <c r="C187" s="6" t="str">
        <f t="shared" si="3"/>
        <v>Seite 4</v>
      </c>
      <c r="D187" s="11" t="s">
        <v>147</v>
      </c>
      <c r="E187" s="12" t="s">
        <v>392</v>
      </c>
      <c r="F187" s="250" t="s">
        <v>755</v>
      </c>
      <c r="G187" s="14" t="s">
        <v>392</v>
      </c>
    </row>
    <row r="188" spans="1:7" x14ac:dyDescent="0.45">
      <c r="A188" s="6" t="s">
        <v>147</v>
      </c>
      <c r="B188" s="6" t="s">
        <v>196</v>
      </c>
      <c r="C188" s="6" t="str">
        <f t="shared" si="3"/>
        <v>A10. Wärmenetz</v>
      </c>
      <c r="D188" s="11" t="s">
        <v>148</v>
      </c>
      <c r="E188" s="12" t="s">
        <v>1092</v>
      </c>
      <c r="F188" s="13" t="s">
        <v>787</v>
      </c>
      <c r="G188" s="14" t="s">
        <v>957</v>
      </c>
    </row>
    <row r="189" spans="1:7" x14ac:dyDescent="0.45">
      <c r="A189" s="6" t="s">
        <v>147</v>
      </c>
      <c r="B189" s="6" t="s">
        <v>196</v>
      </c>
      <c r="C189" s="6" t="str">
        <f t="shared" si="3"/>
        <v>Trassenlänge Netz</v>
      </c>
      <c r="D189" s="11" t="s">
        <v>149</v>
      </c>
      <c r="E189" s="12" t="s">
        <v>393</v>
      </c>
      <c r="F189" s="13" t="s">
        <v>830</v>
      </c>
      <c r="G189" s="14" t="s">
        <v>958</v>
      </c>
    </row>
    <row r="190" spans="1:7" x14ac:dyDescent="0.45">
      <c r="A190" s="6" t="s">
        <v>147</v>
      </c>
      <c r="B190" s="6" t="s">
        <v>196</v>
      </c>
      <c r="C190" s="6" t="str">
        <f t="shared" si="3"/>
        <v>(=Grabenlänge)</v>
      </c>
      <c r="D190" s="11" t="s">
        <v>150</v>
      </c>
      <c r="E190" s="12" t="s">
        <v>394</v>
      </c>
      <c r="F190" s="13" t="s">
        <v>831</v>
      </c>
      <c r="G190" s="14" t="s">
        <v>959</v>
      </c>
    </row>
    <row r="191" spans="1:7" x14ac:dyDescent="0.45">
      <c r="A191" s="6" t="s">
        <v>147</v>
      </c>
      <c r="B191" s="6" t="s">
        <v>196</v>
      </c>
      <c r="C191" s="6" t="str">
        <f t="shared" si="3"/>
        <v>Nutzenergie</v>
      </c>
      <c r="D191" s="11" t="s">
        <v>144</v>
      </c>
      <c r="E191" s="12" t="s">
        <v>385</v>
      </c>
      <c r="F191" s="13" t="s">
        <v>774</v>
      </c>
      <c r="G191" s="14" t="s">
        <v>1041</v>
      </c>
    </row>
    <row r="192" spans="1:7" x14ac:dyDescent="0.45">
      <c r="A192" s="6" t="s">
        <v>147</v>
      </c>
      <c r="B192" s="6" t="s">
        <v>196</v>
      </c>
      <c r="C192" s="6" t="str">
        <f t="shared" si="3"/>
        <v>über Netz</v>
      </c>
      <c r="D192" s="11" t="s">
        <v>198</v>
      </c>
      <c r="E192" s="12" t="s">
        <v>399</v>
      </c>
      <c r="F192" s="250" t="s">
        <v>788</v>
      </c>
      <c r="G192" s="14" t="s">
        <v>960</v>
      </c>
    </row>
    <row r="193" spans="1:7" x14ac:dyDescent="0.45">
      <c r="A193" s="6" t="s">
        <v>147</v>
      </c>
      <c r="B193" s="6" t="s">
        <v>196</v>
      </c>
      <c r="C193" s="6" t="str">
        <f t="shared" si="3"/>
        <v>Anschluss-</v>
      </c>
      <c r="D193" s="11" t="s">
        <v>832</v>
      </c>
      <c r="E193" s="12" t="s">
        <v>834</v>
      </c>
      <c r="F193" s="13" t="s">
        <v>836</v>
      </c>
      <c r="G193" s="14" t="s">
        <v>1024</v>
      </c>
    </row>
    <row r="194" spans="1:7" x14ac:dyDescent="0.45">
      <c r="A194" s="6" t="s">
        <v>147</v>
      </c>
      <c r="B194" s="6" t="s">
        <v>196</v>
      </c>
      <c r="C194" s="6" t="str">
        <f t="shared" si="3"/>
        <v>dichte</v>
      </c>
      <c r="D194" s="11" t="s">
        <v>833</v>
      </c>
      <c r="E194" s="12" t="s">
        <v>835</v>
      </c>
      <c r="F194" s="13" t="s">
        <v>837</v>
      </c>
      <c r="G194" s="14" t="s">
        <v>961</v>
      </c>
    </row>
    <row r="195" spans="1:7" x14ac:dyDescent="0.45">
      <c r="A195" s="6" t="s">
        <v>147</v>
      </c>
      <c r="B195" s="6" t="s">
        <v>196</v>
      </c>
      <c r="C195" s="6" t="str">
        <f t="shared" si="3"/>
        <v>Wärmeverteilverluste</v>
      </c>
      <c r="D195" s="11" t="s">
        <v>1119</v>
      </c>
      <c r="E195" s="12" t="s">
        <v>388</v>
      </c>
      <c r="F195" s="13" t="s">
        <v>767</v>
      </c>
      <c r="G195" s="14" t="s">
        <v>962</v>
      </c>
    </row>
    <row r="196" spans="1:7" x14ac:dyDescent="0.45">
      <c r="A196" s="6" t="s">
        <v>147</v>
      </c>
      <c r="B196" s="6" t="s">
        <v>196</v>
      </c>
      <c r="C196" s="6" t="str">
        <f t="shared" si="3"/>
        <v>Temperaturen Netz, °C</v>
      </c>
      <c r="D196" s="11" t="s">
        <v>151</v>
      </c>
      <c r="E196" s="12" t="s">
        <v>395</v>
      </c>
      <c r="F196" s="13" t="s">
        <v>783</v>
      </c>
      <c r="G196" s="14" t="s">
        <v>1009</v>
      </c>
    </row>
    <row r="197" spans="1:7" x14ac:dyDescent="0.45">
      <c r="A197" s="6" t="s">
        <v>147</v>
      </c>
      <c r="B197" s="6" t="s">
        <v>196</v>
      </c>
      <c r="C197" s="6" t="str">
        <f t="shared" si="3"/>
        <v>VL</v>
      </c>
      <c r="D197" s="11" t="s">
        <v>192</v>
      </c>
      <c r="E197" s="12" t="s">
        <v>396</v>
      </c>
      <c r="F197" s="13" t="s">
        <v>784</v>
      </c>
      <c r="G197" s="14" t="s">
        <v>1025</v>
      </c>
    </row>
    <row r="198" spans="1:7" x14ac:dyDescent="0.45">
      <c r="A198" s="6" t="s">
        <v>147</v>
      </c>
      <c r="B198" s="6" t="s">
        <v>196</v>
      </c>
      <c r="C198" s="6" t="str">
        <f t="shared" si="3"/>
        <v>RL</v>
      </c>
      <c r="D198" s="11" t="s">
        <v>193</v>
      </c>
      <c r="E198" s="12" t="s">
        <v>397</v>
      </c>
      <c r="F198" s="13" t="s">
        <v>785</v>
      </c>
      <c r="G198" s="14" t="s">
        <v>1020</v>
      </c>
    </row>
    <row r="199" spans="1:7" x14ac:dyDescent="0.45">
      <c r="A199" s="6" t="s">
        <v>147</v>
      </c>
      <c r="B199" s="6" t="s">
        <v>196</v>
      </c>
      <c r="C199" s="6" t="str">
        <f t="shared" si="3"/>
        <v>Warnungen Wärmenetz:</v>
      </c>
      <c r="D199" s="11" t="s">
        <v>194</v>
      </c>
      <c r="E199" s="12" t="s">
        <v>1120</v>
      </c>
      <c r="F199" s="13" t="s">
        <v>786</v>
      </c>
      <c r="G199" s="14" t="s">
        <v>963</v>
      </c>
    </row>
    <row r="200" spans="1:7" x14ac:dyDescent="0.45">
      <c r="A200" s="6" t="s">
        <v>147</v>
      </c>
      <c r="B200" s="6" t="s">
        <v>196</v>
      </c>
      <c r="C200" s="6" t="str">
        <f t="shared" si="3"/>
        <v>Anschlussdichte zu tief!</v>
      </c>
      <c r="D200" s="11" t="s">
        <v>305</v>
      </c>
      <c r="E200" s="12" t="s">
        <v>401</v>
      </c>
      <c r="F200" s="13" t="s">
        <v>1168</v>
      </c>
      <c r="G200" s="14" t="s">
        <v>1026</v>
      </c>
    </row>
    <row r="201" spans="1:7" x14ac:dyDescent="0.45">
      <c r="A201" s="6" t="s">
        <v>147</v>
      </c>
      <c r="B201" s="6" t="s">
        <v>196</v>
      </c>
      <c r="C201" s="6" t="str">
        <f t="shared" si="3"/>
        <v>∆T zu klein!</v>
      </c>
      <c r="D201" s="11" t="s">
        <v>304</v>
      </c>
      <c r="E201" s="12" t="s">
        <v>402</v>
      </c>
      <c r="F201" s="13" t="s">
        <v>789</v>
      </c>
      <c r="G201" s="14" t="s">
        <v>964</v>
      </c>
    </row>
    <row r="202" spans="1:7" x14ac:dyDescent="0.45">
      <c r="A202" s="6" t="s">
        <v>147</v>
      </c>
      <c r="B202" s="6" t="s">
        <v>196</v>
      </c>
      <c r="C202" s="6" t="str">
        <f t="shared" si="3"/>
        <v>Anschlussdichte zu tief und ∆T zu klein!</v>
      </c>
      <c r="D202" s="11" t="s">
        <v>306</v>
      </c>
      <c r="E202" s="12" t="s">
        <v>400</v>
      </c>
      <c r="F202" s="13" t="s">
        <v>1169</v>
      </c>
      <c r="G202" s="14" t="s">
        <v>1027</v>
      </c>
    </row>
    <row r="203" spans="1:7" x14ac:dyDescent="0.45">
      <c r="A203" s="6" t="s">
        <v>147</v>
      </c>
      <c r="B203" s="6" t="s">
        <v>196</v>
      </c>
      <c r="C203" s="6" t="str">
        <f t="shared" si="3"/>
        <v>Begründung:</v>
      </c>
      <c r="D203" s="11" t="s">
        <v>197</v>
      </c>
      <c r="E203" s="12" t="s">
        <v>1091</v>
      </c>
      <c r="F203" s="13" t="s">
        <v>782</v>
      </c>
      <c r="G203" s="14" t="s">
        <v>398</v>
      </c>
    </row>
    <row r="204" spans="1:7" x14ac:dyDescent="0.45">
      <c r="A204" s="6" t="s">
        <v>147</v>
      </c>
      <c r="B204" s="6" t="s">
        <v>200</v>
      </c>
      <c r="C204" s="6" t="str">
        <f t="shared" si="3"/>
        <v>A11. Angaben zur Kesselanlage</v>
      </c>
      <c r="D204" s="11" t="s">
        <v>152</v>
      </c>
      <c r="E204" s="12" t="s">
        <v>407</v>
      </c>
      <c r="F204" s="13" t="s">
        <v>797</v>
      </c>
      <c r="G204" s="14" t="s">
        <v>1010</v>
      </c>
    </row>
    <row r="205" spans="1:7" x14ac:dyDescent="0.45">
      <c r="A205" s="6" t="s">
        <v>147</v>
      </c>
      <c r="B205" s="6" t="s">
        <v>200</v>
      </c>
      <c r="C205" s="6" t="str">
        <f t="shared" ref="C205:C271" si="4">IF(C$1="F",E205,IF(C$1="I",F205,IF(C$1="E",G205,D205)))</f>
        <v>Maximal zulässige Kesselnennleistung</v>
      </c>
      <c r="D205" s="11" t="s">
        <v>1029</v>
      </c>
      <c r="E205" s="12" t="s">
        <v>1093</v>
      </c>
      <c r="F205" s="13" t="s">
        <v>1376</v>
      </c>
      <c r="G205" s="14" t="s">
        <v>1028</v>
      </c>
    </row>
    <row r="206" spans="1:7" ht="23.15" x14ac:dyDescent="0.45">
      <c r="A206" s="6" t="s">
        <v>147</v>
      </c>
      <c r="B206" s="6" t="s">
        <v>200</v>
      </c>
      <c r="C206" s="6" t="str">
        <f t="shared" si="4"/>
        <v>(berechnet aus Gesamtsumme (A08) und zulässigem Überdimensionierungsfaktor von 20%)</v>
      </c>
      <c r="D206" s="11" t="s">
        <v>841</v>
      </c>
      <c r="E206" s="12" t="s">
        <v>1094</v>
      </c>
      <c r="F206" s="13" t="s">
        <v>842</v>
      </c>
      <c r="G206" s="14" t="s">
        <v>965</v>
      </c>
    </row>
    <row r="207" spans="1:7" x14ac:dyDescent="0.45">
      <c r="A207" s="6" t="s">
        <v>147</v>
      </c>
      <c r="B207" s="6" t="s">
        <v>200</v>
      </c>
      <c r="C207" s="6" t="str">
        <f t="shared" si="4"/>
        <v>Lieferant und Kesseltyp bekannt?</v>
      </c>
      <c r="D207" s="11" t="s">
        <v>201</v>
      </c>
      <c r="E207" s="12" t="s">
        <v>1095</v>
      </c>
      <c r="F207" s="13" t="s">
        <v>790</v>
      </c>
      <c r="G207" s="14" t="s">
        <v>966</v>
      </c>
    </row>
    <row r="208" spans="1:7" x14ac:dyDescent="0.45">
      <c r="A208" s="6" t="s">
        <v>147</v>
      </c>
      <c r="B208" s="6" t="s">
        <v>200</v>
      </c>
      <c r="C208" s="6" t="str">
        <f t="shared" si="4"/>
        <v>Nennleistung</v>
      </c>
      <c r="D208" s="11" t="s">
        <v>155</v>
      </c>
      <c r="E208" s="12" t="s">
        <v>403</v>
      </c>
      <c r="F208" s="13" t="s">
        <v>791</v>
      </c>
      <c r="G208" s="14" t="s">
        <v>967</v>
      </c>
    </row>
    <row r="209" spans="1:7" x14ac:dyDescent="0.45">
      <c r="A209" s="6" t="s">
        <v>147</v>
      </c>
      <c r="B209" s="6" t="s">
        <v>200</v>
      </c>
      <c r="C209" s="6" t="str">
        <f t="shared" si="4"/>
        <v>Minimalleistung</v>
      </c>
      <c r="D209" s="11" t="s">
        <v>156</v>
      </c>
      <c r="E209" s="12" t="s">
        <v>1096</v>
      </c>
      <c r="F209" s="13" t="s">
        <v>792</v>
      </c>
      <c r="G209" s="14" t="s">
        <v>1030</v>
      </c>
    </row>
    <row r="210" spans="1:7" x14ac:dyDescent="0.45">
      <c r="A210" s="6" t="s">
        <v>147</v>
      </c>
      <c r="B210" s="6" t="s">
        <v>200</v>
      </c>
      <c r="C210" s="6" t="str">
        <f t="shared" si="4"/>
        <v>Kessel 1</v>
      </c>
      <c r="D210" s="11" t="s">
        <v>157</v>
      </c>
      <c r="E210" s="12" t="s">
        <v>404</v>
      </c>
      <c r="F210" s="13" t="s">
        <v>793</v>
      </c>
      <c r="G210" s="14" t="s">
        <v>1011</v>
      </c>
    </row>
    <row r="211" spans="1:7" x14ac:dyDescent="0.45">
      <c r="A211" s="6" t="s">
        <v>147</v>
      </c>
      <c r="B211" s="6" t="s">
        <v>200</v>
      </c>
      <c r="C211" s="6" t="str">
        <f t="shared" si="4"/>
        <v xml:space="preserve">(kleinster Kessel) </v>
      </c>
      <c r="D211" s="11" t="s">
        <v>840</v>
      </c>
      <c r="E211" s="12" t="s">
        <v>838</v>
      </c>
      <c r="F211" s="250" t="s">
        <v>839</v>
      </c>
      <c r="G211" s="14" t="s">
        <v>969</v>
      </c>
    </row>
    <row r="212" spans="1:7" x14ac:dyDescent="0.45">
      <c r="A212" s="6" t="s">
        <v>147</v>
      </c>
      <c r="B212" s="6" t="s">
        <v>200</v>
      </c>
      <c r="C212" s="6" t="str">
        <f t="shared" si="4"/>
        <v>weitere Kessel - Summe der Nennleistungen</v>
      </c>
      <c r="D212" s="11" t="s">
        <v>158</v>
      </c>
      <c r="E212" s="12" t="s">
        <v>405</v>
      </c>
      <c r="F212" s="13" t="s">
        <v>1369</v>
      </c>
      <c r="G212" s="14" t="s">
        <v>970</v>
      </c>
    </row>
    <row r="213" spans="1:7" x14ac:dyDescent="0.45">
      <c r="A213" s="6" t="s">
        <v>147</v>
      </c>
      <c r="B213" s="6" t="s">
        <v>200</v>
      </c>
      <c r="C213" s="6" t="str">
        <f t="shared" si="4"/>
        <v>Gesamte Kesselnennleistung</v>
      </c>
      <c r="D213" s="11" t="s">
        <v>163</v>
      </c>
      <c r="E213" s="12" t="s">
        <v>1097</v>
      </c>
      <c r="F213" s="13" t="s">
        <v>798</v>
      </c>
      <c r="G213" s="14" t="s">
        <v>971</v>
      </c>
    </row>
    <row r="214" spans="1:7" x14ac:dyDescent="0.45">
      <c r="A214" s="6" t="s">
        <v>147</v>
      </c>
      <c r="B214" s="6" t="s">
        <v>200</v>
      </c>
      <c r="C214" s="6" t="str">
        <f t="shared" si="4"/>
        <v>Minimalleistung (kleinster Kessel)</v>
      </c>
      <c r="D214" s="11" t="s">
        <v>162</v>
      </c>
      <c r="E214" s="12" t="s">
        <v>1098</v>
      </c>
      <c r="F214" s="13" t="s">
        <v>799</v>
      </c>
      <c r="G214" s="14" t="s">
        <v>972</v>
      </c>
    </row>
    <row r="215" spans="1:7" x14ac:dyDescent="0.45">
      <c r="A215" s="6" t="s">
        <v>147</v>
      </c>
      <c r="B215" s="6" t="s">
        <v>200</v>
      </c>
      <c r="C215" s="6" t="str">
        <f t="shared" si="4"/>
        <v>Typenbezeichnung</v>
      </c>
      <c r="D215" s="11" t="s">
        <v>159</v>
      </c>
      <c r="E215" s="12" t="s">
        <v>406</v>
      </c>
      <c r="F215" s="13" t="s">
        <v>794</v>
      </c>
      <c r="G215" s="14" t="s">
        <v>973</v>
      </c>
    </row>
    <row r="216" spans="1:7" x14ac:dyDescent="0.45">
      <c r="A216" s="6" t="s">
        <v>147</v>
      </c>
      <c r="B216" s="6" t="s">
        <v>200</v>
      </c>
      <c r="C216" s="6" t="str">
        <f t="shared" si="4"/>
        <v>Hersteller / Lieferant</v>
      </c>
      <c r="D216" s="11" t="s">
        <v>160</v>
      </c>
      <c r="E216" s="12" t="s">
        <v>1099</v>
      </c>
      <c r="F216" s="13" t="s">
        <v>795</v>
      </c>
      <c r="G216" s="14" t="s">
        <v>974</v>
      </c>
    </row>
    <row r="217" spans="1:7" x14ac:dyDescent="0.45">
      <c r="A217" s="6" t="s">
        <v>147</v>
      </c>
      <c r="B217" s="6" t="s">
        <v>200</v>
      </c>
      <c r="C217" s="6" t="str">
        <f t="shared" si="4"/>
        <v>jährl. Brennstoffbedarf</v>
      </c>
      <c r="D217" s="11" t="s">
        <v>161</v>
      </c>
      <c r="E217" s="12" t="s">
        <v>1400</v>
      </c>
      <c r="F217" s="13" t="s">
        <v>796</v>
      </c>
      <c r="G217" s="14" t="s">
        <v>1012</v>
      </c>
    </row>
    <row r="218" spans="1:7" x14ac:dyDescent="0.45">
      <c r="A218" s="6" t="s">
        <v>147</v>
      </c>
      <c r="B218" s="6" t="s">
        <v>200</v>
      </c>
      <c r="C218" s="6" t="str">
        <f t="shared" si="4"/>
        <v>Dimensionierung Kessel</v>
      </c>
      <c r="D218" s="11" t="s">
        <v>164</v>
      </c>
      <c r="E218" s="12" t="s">
        <v>1100</v>
      </c>
      <c r="F218" s="13" t="s">
        <v>801</v>
      </c>
      <c r="G218" s="14" t="s">
        <v>975</v>
      </c>
    </row>
    <row r="219" spans="1:7" x14ac:dyDescent="0.45">
      <c r="A219" s="6" t="s">
        <v>667</v>
      </c>
      <c r="B219" s="6" t="s">
        <v>200</v>
      </c>
      <c r="C219" s="6" t="str">
        <f t="shared" si="4"/>
        <v>Über- oder Unterdimensionierung</v>
      </c>
      <c r="D219" s="11" t="s">
        <v>668</v>
      </c>
      <c r="E219" s="12" t="s">
        <v>1101</v>
      </c>
      <c r="F219" s="13" t="s">
        <v>802</v>
      </c>
      <c r="G219" s="14" t="s">
        <v>976</v>
      </c>
    </row>
    <row r="220" spans="1:7" x14ac:dyDescent="0.45">
      <c r="A220" s="6" t="s">
        <v>147</v>
      </c>
      <c r="B220" s="6" t="s">
        <v>200</v>
      </c>
      <c r="C220" s="6" t="str">
        <f t="shared" si="4"/>
        <v>In Ordnung</v>
      </c>
      <c r="D220" s="11" t="s">
        <v>188</v>
      </c>
      <c r="E220" s="12" t="s">
        <v>408</v>
      </c>
      <c r="F220" s="250" t="s">
        <v>712</v>
      </c>
      <c r="G220" s="14" t="s">
        <v>408</v>
      </c>
    </row>
    <row r="221" spans="1:7" x14ac:dyDescent="0.45">
      <c r="A221" s="6" t="s">
        <v>147</v>
      </c>
      <c r="B221" s="6" t="s">
        <v>200</v>
      </c>
      <c r="C221" s="6" t="str">
        <f t="shared" si="4"/>
        <v>Zu klein</v>
      </c>
      <c r="D221" s="11" t="s">
        <v>187</v>
      </c>
      <c r="E221" s="12" t="s">
        <v>1361</v>
      </c>
      <c r="F221" s="13" t="s">
        <v>714</v>
      </c>
      <c r="G221" s="14" t="s">
        <v>977</v>
      </c>
    </row>
    <row r="222" spans="1:7" x14ac:dyDescent="0.45">
      <c r="A222" s="6" t="s">
        <v>147</v>
      </c>
      <c r="B222" s="6" t="s">
        <v>200</v>
      </c>
      <c r="C222" s="6" t="str">
        <f t="shared" si="4"/>
        <v>Überdimensioniert</v>
      </c>
      <c r="D222" s="11" t="s">
        <v>186</v>
      </c>
      <c r="E222" s="12" t="s">
        <v>1362</v>
      </c>
      <c r="F222" s="13" t="s">
        <v>713</v>
      </c>
      <c r="G222" s="14" t="s">
        <v>978</v>
      </c>
    </row>
    <row r="223" spans="1:7" x14ac:dyDescent="0.45">
      <c r="A223" s="6" t="s">
        <v>147</v>
      </c>
      <c r="B223" s="6" t="s">
        <v>200</v>
      </c>
      <c r="C223" s="6" t="str">
        <f t="shared" si="4"/>
        <v>Verpflichtung des Projektverantwortlichen:</v>
      </c>
      <c r="D223" s="11" t="s">
        <v>165</v>
      </c>
      <c r="E223" s="12" t="s">
        <v>1102</v>
      </c>
      <c r="F223" s="13" t="s">
        <v>800</v>
      </c>
      <c r="G223" s="14" t="s">
        <v>979</v>
      </c>
    </row>
    <row r="224" spans="1:7" ht="23.15" x14ac:dyDescent="0.45">
      <c r="A224" s="6" t="s">
        <v>147</v>
      </c>
      <c r="B224" s="6" t="s">
        <v>200</v>
      </c>
      <c r="C224" s="6" t="str">
        <f t="shared" si="4"/>
        <v>Der Projektverantwortliche verpflichtet sich mit dem Kessellieferanten die erforderliche Raumhöhe zu diskutieren.</v>
      </c>
      <c r="D224" s="11" t="s">
        <v>308</v>
      </c>
      <c r="E224" s="12" t="s">
        <v>1419</v>
      </c>
      <c r="F224" s="13" t="s">
        <v>1420</v>
      </c>
      <c r="G224" s="14" t="s">
        <v>980</v>
      </c>
    </row>
    <row r="225" spans="1:7" ht="34.75" x14ac:dyDescent="0.45">
      <c r="A225" s="6" t="s">
        <v>147</v>
      </c>
      <c r="B225" s="6" t="s">
        <v>200</v>
      </c>
      <c r="C225" s="6" t="str">
        <f>IF(C$1="F",E225,IF(C$1="I",F225,IF(C$1="E",G225,D225)))</f>
        <v>Der Projektverantwortliche verpflichtet sich mit dem Kessellieferanten die erforderliche Raumhöhe zu diskutieren, sobald dieser bekannt ist.</v>
      </c>
      <c r="D225" s="11" t="s">
        <v>1415</v>
      </c>
      <c r="E225" s="12" t="s">
        <v>1416</v>
      </c>
      <c r="F225" s="13" t="s">
        <v>1417</v>
      </c>
      <c r="G225" s="14" t="s">
        <v>1418</v>
      </c>
    </row>
    <row r="226" spans="1:7" ht="23.15" x14ac:dyDescent="0.45">
      <c r="A226" s="6" t="s">
        <v>147</v>
      </c>
      <c r="B226" s="6" t="s">
        <v>200</v>
      </c>
      <c r="C226" s="6" t="e">
        <f t="shared" si="4"/>
        <v>#DIV/0!</v>
      </c>
      <c r="D226" s="11" t="e">
        <f>"Der Projektverantwortliche verpflichtet sich, eine Kesselnennleistung im Bereich "&amp;Projektformular!AZ37&amp;" kW bis "&amp;Projektformular!BL18&amp;" kW zu wählen."</f>
        <v>#DIV/0!</v>
      </c>
      <c r="E226" s="12" t="e">
        <f>"Le responsable du projet s'engage à choisir une puissance nominale de la chaudière dans la plage de "&amp;Projektformular!AZ37&amp;" kW à "&amp;Projektformular!BL18&amp;" kW."</f>
        <v>#DIV/0!</v>
      </c>
      <c r="F226" s="13" t="e">
        <f>"Il responsabile di progetto si impegna a scegliere la potenza nominale della caldaia nella gamma da "&amp;Projektformular!AZ37&amp;" kW a "&amp;Projektformular!BL18&amp;" kW."</f>
        <v>#DIV/0!</v>
      </c>
      <c r="G226" s="14" t="e">
        <f>"The project manager undertakes to select a boiler nominal output in the range of "&amp;Projektformular!AZ37&amp;" kW to "&amp;Projektformular!BL18&amp;" kW."</f>
        <v>#DIV/0!</v>
      </c>
    </row>
    <row r="227" spans="1:7" ht="23.15" x14ac:dyDescent="0.45">
      <c r="A227" s="6" t="s">
        <v>147</v>
      </c>
      <c r="B227" s="6" t="s">
        <v>200</v>
      </c>
      <c r="C227" s="6" t="str">
        <f t="shared" si="4"/>
        <v>Zusätzlich verpflichtet er sich, den Hersteller/Lieferant über alle im Projektformular ausgewiesenen Abweichungen zu informieren.</v>
      </c>
      <c r="D227" s="11" t="s">
        <v>309</v>
      </c>
      <c r="E227" s="12" t="s">
        <v>1421</v>
      </c>
      <c r="F227" s="13" t="s">
        <v>1422</v>
      </c>
      <c r="G227" s="14" t="s">
        <v>981</v>
      </c>
    </row>
    <row r="228" spans="1:7" x14ac:dyDescent="0.45">
      <c r="A228" s="6" t="s">
        <v>147</v>
      </c>
      <c r="B228" s="6" t="s">
        <v>200</v>
      </c>
      <c r="C228" s="6" t="str">
        <f t="shared" si="4"/>
        <v>kg/a</v>
      </c>
      <c r="D228" s="11" t="s">
        <v>203</v>
      </c>
      <c r="E228" s="12" t="s">
        <v>1118</v>
      </c>
      <c r="F228" s="13" t="s">
        <v>203</v>
      </c>
      <c r="G228" s="14" t="s">
        <v>203</v>
      </c>
    </row>
    <row r="229" spans="1:7" x14ac:dyDescent="0.45">
      <c r="A229" s="6" t="s">
        <v>147</v>
      </c>
      <c r="B229" s="6" t="s">
        <v>200</v>
      </c>
      <c r="C229" s="6" t="str">
        <f t="shared" si="4"/>
        <v>Srm/a</v>
      </c>
      <c r="D229" s="11" t="s">
        <v>204</v>
      </c>
      <c r="E229" s="12" t="s">
        <v>1356</v>
      </c>
      <c r="F229" s="13" t="s">
        <v>1357</v>
      </c>
      <c r="G229" s="14" t="s">
        <v>1358</v>
      </c>
    </row>
    <row r="230" spans="1:7" x14ac:dyDescent="0.45">
      <c r="A230" s="6" t="s">
        <v>147</v>
      </c>
      <c r="B230" s="6" t="s">
        <v>202</v>
      </c>
      <c r="C230" s="6" t="str">
        <f t="shared" si="4"/>
        <v>A12. Systemwahl QMmini</v>
      </c>
      <c r="D230" s="11" t="s">
        <v>153</v>
      </c>
      <c r="E230" s="12" t="s">
        <v>417</v>
      </c>
      <c r="F230" s="13" t="s">
        <v>810</v>
      </c>
      <c r="G230" s="14" t="s">
        <v>982</v>
      </c>
    </row>
    <row r="231" spans="1:7" x14ac:dyDescent="0.45">
      <c r="A231" s="6" t="s">
        <v>147</v>
      </c>
      <c r="B231" s="6" t="s">
        <v>202</v>
      </c>
      <c r="C231" s="6" t="str">
        <f t="shared" si="4"/>
        <v>Beurteilung Schwachlastbetrieb</v>
      </c>
      <c r="D231" s="11" t="s">
        <v>231</v>
      </c>
      <c r="E231" s="12" t="s">
        <v>418</v>
      </c>
      <c r="F231" s="13" t="s">
        <v>803</v>
      </c>
      <c r="G231" s="14" t="s">
        <v>1013</v>
      </c>
    </row>
    <row r="232" spans="1:7" x14ac:dyDescent="0.45">
      <c r="A232" s="6" t="s">
        <v>147</v>
      </c>
      <c r="B232" s="6" t="s">
        <v>202</v>
      </c>
      <c r="C232" s="6" t="str">
        <f t="shared" si="4"/>
        <v>Benötigte Leistung im Schwachlastbetrieb</v>
      </c>
      <c r="D232" s="11" t="s">
        <v>166</v>
      </c>
      <c r="E232" s="12" t="s">
        <v>409</v>
      </c>
      <c r="F232" s="13" t="s">
        <v>1377</v>
      </c>
      <c r="G232" s="14" t="s">
        <v>983</v>
      </c>
    </row>
    <row r="233" spans="1:7" x14ac:dyDescent="0.45">
      <c r="A233" s="6" t="s">
        <v>147</v>
      </c>
      <c r="B233" s="6" t="s">
        <v>202</v>
      </c>
      <c r="C233" s="6" t="str">
        <f t="shared" si="4"/>
        <v>Anteil an der Kesselnennleistung</v>
      </c>
      <c r="D233" s="11" t="s">
        <v>167</v>
      </c>
      <c r="E233" s="12" t="s">
        <v>410</v>
      </c>
      <c r="F233" s="13" t="s">
        <v>804</v>
      </c>
      <c r="G233" s="14" t="s">
        <v>984</v>
      </c>
    </row>
    <row r="234" spans="1:7" x14ac:dyDescent="0.45">
      <c r="A234" s="6" t="s">
        <v>147</v>
      </c>
      <c r="B234" s="6" t="s">
        <v>202</v>
      </c>
      <c r="C234" s="6" t="str">
        <f t="shared" si="4"/>
        <v>Minimalwert</v>
      </c>
      <c r="D234" s="11" t="s">
        <v>168</v>
      </c>
      <c r="E234" s="12" t="s">
        <v>1103</v>
      </c>
      <c r="F234" s="13" t="s">
        <v>805</v>
      </c>
      <c r="G234" s="14" t="s">
        <v>985</v>
      </c>
    </row>
    <row r="235" spans="1:7" x14ac:dyDescent="0.45">
      <c r="A235" s="6" t="s">
        <v>147</v>
      </c>
      <c r="B235" s="6" t="s">
        <v>202</v>
      </c>
      <c r="C235" s="6" t="str">
        <f t="shared" si="4"/>
        <v>Sommerbetrieb Holzkessel zulässig?</v>
      </c>
      <c r="D235" s="11" t="s">
        <v>1181</v>
      </c>
      <c r="E235" s="12" t="s">
        <v>1182</v>
      </c>
      <c r="F235" s="13" t="s">
        <v>1378</v>
      </c>
      <c r="G235" s="14" t="s">
        <v>1183</v>
      </c>
    </row>
    <row r="236" spans="1:7" x14ac:dyDescent="0.45">
      <c r="A236" s="6" t="s">
        <v>147</v>
      </c>
      <c r="B236" s="6" t="s">
        <v>202</v>
      </c>
      <c r="C236" s="6" t="str">
        <f t="shared" si="4"/>
        <v>(8% bei Pellets, 10% bei Holzhhackschnitzeln)</v>
      </c>
      <c r="D236" s="11" t="s">
        <v>1360</v>
      </c>
      <c r="E236" s="12" t="s">
        <v>419</v>
      </c>
      <c r="F236" s="13" t="s">
        <v>1170</v>
      </c>
      <c r="G236" s="14" t="s">
        <v>986</v>
      </c>
    </row>
    <row r="237" spans="1:7" x14ac:dyDescent="0.45">
      <c r="A237" s="6" t="s">
        <v>147</v>
      </c>
      <c r="B237" s="6" t="s">
        <v>202</v>
      </c>
      <c r="C237" s="6" t="str">
        <f t="shared" si="4"/>
        <v>Auslegung Kesselkreis und Speicher</v>
      </c>
      <c r="D237" s="11" t="s">
        <v>169</v>
      </c>
      <c r="E237" s="12" t="s">
        <v>411</v>
      </c>
      <c r="F237" s="13" t="s">
        <v>806</v>
      </c>
      <c r="G237" s="14" t="s">
        <v>1031</v>
      </c>
    </row>
    <row r="238" spans="1:7" x14ac:dyDescent="0.45">
      <c r="A238" s="6" t="s">
        <v>147</v>
      </c>
      <c r="B238" s="6" t="s">
        <v>202</v>
      </c>
      <c r="C238" s="6" t="str">
        <f t="shared" si="4"/>
        <v>Vorlauf-Temperatur</v>
      </c>
      <c r="D238" s="11" t="s">
        <v>176</v>
      </c>
      <c r="E238" s="12" t="s">
        <v>412</v>
      </c>
      <c r="F238" s="13" t="s">
        <v>1171</v>
      </c>
      <c r="G238" s="14" t="s">
        <v>1032</v>
      </c>
    </row>
    <row r="239" spans="1:7" x14ac:dyDescent="0.45">
      <c r="A239" s="6" t="s">
        <v>147</v>
      </c>
      <c r="B239" s="6" t="s">
        <v>202</v>
      </c>
      <c r="C239" s="6" t="str">
        <f t="shared" si="4"/>
        <v>max. Rücklauf-Temperatur</v>
      </c>
      <c r="D239" s="11" t="s">
        <v>177</v>
      </c>
      <c r="E239" s="12" t="s">
        <v>413</v>
      </c>
      <c r="F239" s="13" t="s">
        <v>807</v>
      </c>
      <c r="G239" s="14" t="s">
        <v>987</v>
      </c>
    </row>
    <row r="240" spans="1:7" x14ac:dyDescent="0.45">
      <c r="A240" s="6" t="s">
        <v>147</v>
      </c>
      <c r="B240" s="6" t="s">
        <v>202</v>
      </c>
      <c r="C240" s="6" t="str">
        <f t="shared" si="4"/>
        <v>Minimales Speichervolumen nach QMH</v>
      </c>
      <c r="D240" s="11" t="s">
        <v>180</v>
      </c>
      <c r="E240" s="12" t="s">
        <v>1104</v>
      </c>
      <c r="F240" s="13" t="s">
        <v>811</v>
      </c>
      <c r="G240" s="14" t="s">
        <v>988</v>
      </c>
    </row>
    <row r="241" spans="1:7" x14ac:dyDescent="0.45">
      <c r="A241" s="6" t="s">
        <v>147</v>
      </c>
      <c r="B241" s="6" t="s">
        <v>202</v>
      </c>
      <c r="C241" s="6" t="str">
        <f t="shared" si="4"/>
        <v>Minimales Speichervolumen nach LRV</v>
      </c>
      <c r="D241" s="11" t="s">
        <v>181</v>
      </c>
      <c r="E241" s="12" t="s">
        <v>1407</v>
      </c>
      <c r="F241" s="250" t="s">
        <v>812</v>
      </c>
      <c r="G241" s="14" t="s">
        <v>989</v>
      </c>
    </row>
    <row r="242" spans="1:7" x14ac:dyDescent="0.45">
      <c r="A242" s="6" t="s">
        <v>147</v>
      </c>
      <c r="B242" s="6" t="s">
        <v>202</v>
      </c>
      <c r="C242" s="6" t="str">
        <f t="shared" si="4"/>
        <v>Geplantes Speichervolumen</v>
      </c>
      <c r="D242" s="11" t="s">
        <v>178</v>
      </c>
      <c r="E242" s="12" t="s">
        <v>424</v>
      </c>
      <c r="F242" s="13" t="s">
        <v>813</v>
      </c>
      <c r="G242" s="14" t="s">
        <v>1033</v>
      </c>
    </row>
    <row r="243" spans="1:7" ht="23.15" x14ac:dyDescent="0.45">
      <c r="A243" s="6" t="s">
        <v>147</v>
      </c>
      <c r="B243" s="6" t="s">
        <v>202</v>
      </c>
      <c r="C243" s="6" t="str">
        <f t="shared" si="4"/>
        <v>Bedingung Speichervolumen nach QMH erfüllt?</v>
      </c>
      <c r="D243" s="11" t="s">
        <v>1228</v>
      </c>
      <c r="E243" s="12" t="s">
        <v>1230</v>
      </c>
      <c r="F243" s="13" t="s">
        <v>1379</v>
      </c>
      <c r="G243" s="14" t="s">
        <v>1229</v>
      </c>
    </row>
    <row r="244" spans="1:7" ht="23.15" x14ac:dyDescent="0.45">
      <c r="A244" s="6" t="s">
        <v>147</v>
      </c>
      <c r="B244" s="6" t="s">
        <v>202</v>
      </c>
      <c r="C244" s="6" t="str">
        <f>IF(C$1="F",E244,IF(C$1="I",F244,IF(C$1="E",G244,D244)))</f>
        <v xml:space="preserve">Geplantes Speichervolumen entspricht nicht den Vorgaben der LRV. Eine Ausnahmebewilligung ist einzuholen! </v>
      </c>
      <c r="D244" s="11" t="s">
        <v>1335</v>
      </c>
      <c r="E244" s="12" t="s">
        <v>1408</v>
      </c>
      <c r="F244" s="13" t="s">
        <v>1380</v>
      </c>
      <c r="G244" s="14" t="s">
        <v>1336</v>
      </c>
    </row>
    <row r="245" spans="1:7" x14ac:dyDescent="0.45">
      <c r="A245" s="6" t="s">
        <v>147</v>
      </c>
      <c r="B245" s="6" t="s">
        <v>202</v>
      </c>
      <c r="C245" s="6" t="str">
        <f t="shared" ref="C245" si="5">IF(C$1="F",E245,IF(C$1="I",F245,IF(C$1="E",G245,D245)))</f>
        <v>Geplantes Speichervolumen in Kubikmeter angeben</v>
      </c>
      <c r="D245" s="11" t="s">
        <v>1446</v>
      </c>
      <c r="E245" s="12" t="s">
        <v>1447</v>
      </c>
      <c r="F245" s="13" t="s">
        <v>1448</v>
      </c>
      <c r="G245" s="14" t="s">
        <v>1449</v>
      </c>
    </row>
    <row r="246" spans="1:7" x14ac:dyDescent="0.45">
      <c r="A246" s="6" t="s">
        <v>147</v>
      </c>
      <c r="B246" s="6" t="s">
        <v>202</v>
      </c>
      <c r="C246" s="6" t="str">
        <f t="shared" si="4"/>
        <v>Berechnung Brennstofflager</v>
      </c>
      <c r="D246" s="11" t="s">
        <v>170</v>
      </c>
      <c r="E246" s="12" t="s">
        <v>414</v>
      </c>
      <c r="F246" s="13" t="s">
        <v>1172</v>
      </c>
      <c r="G246" s="14" t="s">
        <v>1014</v>
      </c>
    </row>
    <row r="247" spans="1:7" x14ac:dyDescent="0.45">
      <c r="A247" s="6" t="s">
        <v>147</v>
      </c>
      <c r="B247" s="6" t="s">
        <v>202</v>
      </c>
      <c r="C247" s="6" t="str">
        <f t="shared" si="4"/>
        <v>Inhalt netto</v>
      </c>
      <c r="D247" s="11" t="s">
        <v>171</v>
      </c>
      <c r="E247" s="12" t="s">
        <v>415</v>
      </c>
      <c r="F247" s="13" t="s">
        <v>1381</v>
      </c>
      <c r="G247" s="14" t="s">
        <v>1015</v>
      </c>
    </row>
    <row r="248" spans="1:7" x14ac:dyDescent="0.45">
      <c r="A248" s="6" t="s">
        <v>147</v>
      </c>
      <c r="B248" s="6" t="s">
        <v>202</v>
      </c>
      <c r="C248" s="6" t="str">
        <f t="shared" si="4"/>
        <v>Energieinhalt</v>
      </c>
      <c r="D248" s="11" t="s">
        <v>172</v>
      </c>
      <c r="E248" s="12" t="s">
        <v>1105</v>
      </c>
      <c r="F248" s="13" t="s">
        <v>808</v>
      </c>
      <c r="G248" s="14" t="s">
        <v>990</v>
      </c>
    </row>
    <row r="249" spans="1:7" x14ac:dyDescent="0.45">
      <c r="A249" s="6" t="s">
        <v>147</v>
      </c>
      <c r="B249" s="6" t="s">
        <v>202</v>
      </c>
      <c r="C249" s="6" t="str">
        <f t="shared" si="4"/>
        <v>Abdeckung Vollastbedarf</v>
      </c>
      <c r="D249" s="11" t="s">
        <v>173</v>
      </c>
      <c r="E249" s="12" t="s">
        <v>416</v>
      </c>
      <c r="F249" s="13" t="s">
        <v>809</v>
      </c>
      <c r="G249" s="14" t="s">
        <v>1016</v>
      </c>
    </row>
    <row r="250" spans="1:7" x14ac:dyDescent="0.45">
      <c r="A250" s="6" t="s">
        <v>147</v>
      </c>
      <c r="B250" s="6" t="s">
        <v>202</v>
      </c>
      <c r="C250" s="6" t="str">
        <f t="shared" si="4"/>
        <v>Empfohlene Lagergrösse für Holzhackschnitzel</v>
      </c>
      <c r="D250" s="11" t="s">
        <v>670</v>
      </c>
      <c r="E250" s="12" t="s">
        <v>1106</v>
      </c>
      <c r="F250" s="13" t="s">
        <v>1173</v>
      </c>
      <c r="G250" s="14" t="s">
        <v>1034</v>
      </c>
    </row>
    <row r="251" spans="1:7" x14ac:dyDescent="0.45">
      <c r="A251" s="6" t="s">
        <v>147</v>
      </c>
      <c r="B251" s="6" t="s">
        <v>202</v>
      </c>
      <c r="C251" s="6" t="str">
        <f t="shared" si="4"/>
        <v>Empfehlung Brennstofflager erfüllt</v>
      </c>
      <c r="D251" s="11" t="s">
        <v>174</v>
      </c>
      <c r="E251" s="12" t="s">
        <v>1116</v>
      </c>
      <c r="F251" s="13" t="s">
        <v>1174</v>
      </c>
      <c r="G251" s="14" t="s">
        <v>1035</v>
      </c>
    </row>
    <row r="252" spans="1:7" x14ac:dyDescent="0.45">
      <c r="A252" s="6" t="s">
        <v>147</v>
      </c>
      <c r="B252" s="6" t="s">
        <v>202</v>
      </c>
      <c r="C252" s="6" t="str">
        <f t="shared" si="4"/>
        <v>Brennstofflager zu klein</v>
      </c>
      <c r="D252" s="11" t="s">
        <v>70</v>
      </c>
      <c r="E252" s="12" t="s">
        <v>1062</v>
      </c>
      <c r="F252" s="13" t="s">
        <v>1154</v>
      </c>
      <c r="G252" s="14" t="s">
        <v>927</v>
      </c>
    </row>
    <row r="253" spans="1:7" x14ac:dyDescent="0.45">
      <c r="A253" s="6" t="s">
        <v>147</v>
      </c>
      <c r="B253" s="6" t="s">
        <v>202</v>
      </c>
      <c r="C253" s="6" t="str">
        <f t="shared" si="4"/>
        <v>Brennstofflager grösser als Jahresbedarf</v>
      </c>
      <c r="D253" s="11" t="s">
        <v>183</v>
      </c>
      <c r="E253" s="12" t="s">
        <v>1107</v>
      </c>
      <c r="F253" s="13" t="s">
        <v>1175</v>
      </c>
      <c r="G253" s="14" t="s">
        <v>991</v>
      </c>
    </row>
    <row r="254" spans="1:7" ht="23.15" x14ac:dyDescent="0.45">
      <c r="A254" s="6" t="s">
        <v>147</v>
      </c>
      <c r="B254" s="6" t="s">
        <v>202</v>
      </c>
      <c r="C254" s="6" t="str">
        <f t="shared" si="4"/>
        <v>Brennstofflager grösser als Empfehlung für Holzhackschnitzel</v>
      </c>
      <c r="D254" s="11" t="s">
        <v>671</v>
      </c>
      <c r="E254" s="12" t="s">
        <v>1359</v>
      </c>
      <c r="F254" s="13" t="s">
        <v>1176</v>
      </c>
      <c r="G254" s="14" t="s">
        <v>992</v>
      </c>
    </row>
    <row r="255" spans="1:7" ht="23.15" x14ac:dyDescent="0.45">
      <c r="A255" s="6" t="s">
        <v>147</v>
      </c>
      <c r="B255" s="6" t="s">
        <v>202</v>
      </c>
      <c r="C255" s="6" t="str">
        <f t="shared" si="4"/>
        <v>Brennstofflager entspricht empfohlener Grösse für Holzhackschnitzel</v>
      </c>
      <c r="D255" s="11" t="s">
        <v>672</v>
      </c>
      <c r="E255" s="12" t="s">
        <v>1108</v>
      </c>
      <c r="F255" s="13" t="s">
        <v>1177</v>
      </c>
      <c r="G255" s="14" t="s">
        <v>993</v>
      </c>
    </row>
    <row r="256" spans="1:7" ht="23.15" x14ac:dyDescent="0.45">
      <c r="A256" s="6" t="s">
        <v>147</v>
      </c>
      <c r="B256" s="6" t="s">
        <v>202</v>
      </c>
      <c r="C256" s="6" t="str">
        <f t="shared" si="4"/>
        <v>Brennstofflager entspricht empfohlener Grösse für Pellets</v>
      </c>
      <c r="D256" s="11" t="s">
        <v>666</v>
      </c>
      <c r="E256" s="12" t="s">
        <v>1109</v>
      </c>
      <c r="F256" s="13" t="s">
        <v>1178</v>
      </c>
      <c r="G256" s="14" t="s">
        <v>1036</v>
      </c>
    </row>
    <row r="257" spans="1:7" x14ac:dyDescent="0.45">
      <c r="A257" s="6" t="s">
        <v>147</v>
      </c>
      <c r="B257" s="6" t="s">
        <v>202</v>
      </c>
      <c r="C257" s="6" t="str">
        <f t="shared" si="4"/>
        <v>Tage</v>
      </c>
      <c r="D257" s="11" t="s">
        <v>182</v>
      </c>
      <c r="E257" s="12" t="s">
        <v>420</v>
      </c>
      <c r="F257" s="13" t="s">
        <v>814</v>
      </c>
      <c r="G257" s="14" t="s">
        <v>994</v>
      </c>
    </row>
    <row r="258" spans="1:7" x14ac:dyDescent="0.45">
      <c r="A258" s="6" t="s">
        <v>147</v>
      </c>
      <c r="B258" s="6" t="s">
        <v>202</v>
      </c>
      <c r="C258" s="6" t="str">
        <f t="shared" si="4"/>
        <v>kWh pro Schüttraummeter</v>
      </c>
      <c r="D258" s="11" t="s">
        <v>1343</v>
      </c>
      <c r="E258" s="12" t="s">
        <v>1342</v>
      </c>
      <c r="F258" s="13" t="s">
        <v>1344</v>
      </c>
      <c r="G258" s="14" t="s">
        <v>1345</v>
      </c>
    </row>
    <row r="259" spans="1:7" ht="23.15" x14ac:dyDescent="0.45">
      <c r="A259" s="6" t="s">
        <v>147</v>
      </c>
      <c r="B259" s="6" t="s">
        <v>202</v>
      </c>
      <c r="C259" s="6" t="str">
        <f t="shared" si="4"/>
        <v>Bei Pelletlager über 50 Kubikmeter sind zusätzliche Vorschriften der VKF zu beachten.</v>
      </c>
      <c r="D259" s="11" t="s">
        <v>312</v>
      </c>
      <c r="E259" s="12" t="s">
        <v>1110</v>
      </c>
      <c r="F259" s="13" t="s">
        <v>1382</v>
      </c>
      <c r="G259" s="14" t="s">
        <v>995</v>
      </c>
    </row>
    <row r="260" spans="1:7" x14ac:dyDescent="0.45">
      <c r="A260" s="6" t="s">
        <v>283</v>
      </c>
      <c r="B260" s="6" t="s">
        <v>295</v>
      </c>
      <c r="C260" s="6" t="str">
        <f t="shared" si="4"/>
        <v>Seite 5</v>
      </c>
      <c r="D260" s="11" t="s">
        <v>283</v>
      </c>
      <c r="E260" s="12" t="s">
        <v>421</v>
      </c>
      <c r="F260" s="13" t="s">
        <v>815</v>
      </c>
      <c r="G260" s="14" t="s">
        <v>421</v>
      </c>
    </row>
    <row r="261" spans="1:7" x14ac:dyDescent="0.45">
      <c r="A261" s="6" t="s">
        <v>283</v>
      </c>
      <c r="B261" s="6" t="s">
        <v>295</v>
      </c>
      <c r="C261" s="6" t="str">
        <f t="shared" si="4"/>
        <v>A13. Hydraulikschema</v>
      </c>
      <c r="D261" s="11" t="s">
        <v>284</v>
      </c>
      <c r="E261" s="12" t="s">
        <v>422</v>
      </c>
      <c r="F261" s="13" t="s">
        <v>816</v>
      </c>
      <c r="G261" s="14" t="s">
        <v>1021</v>
      </c>
    </row>
    <row r="262" spans="1:7" x14ac:dyDescent="0.45">
      <c r="A262" s="6" t="s">
        <v>283</v>
      </c>
      <c r="B262" s="6" t="s">
        <v>295</v>
      </c>
      <c r="C262" s="6" t="str">
        <f t="shared" si="4"/>
        <v>Bezeichnung</v>
      </c>
      <c r="D262" s="11" t="s">
        <v>287</v>
      </c>
      <c r="E262" s="12" t="s">
        <v>425</v>
      </c>
      <c r="F262" s="13" t="s">
        <v>817</v>
      </c>
      <c r="G262" s="14" t="s">
        <v>996</v>
      </c>
    </row>
    <row r="263" spans="1:7" x14ac:dyDescent="0.45">
      <c r="A263" s="6" t="s">
        <v>283</v>
      </c>
      <c r="B263" s="6" t="s">
        <v>295</v>
      </c>
      <c r="C263" s="6" t="str">
        <f t="shared" si="4"/>
        <v>Einheit</v>
      </c>
      <c r="D263" s="11" t="s">
        <v>288</v>
      </c>
      <c r="E263" s="12" t="s">
        <v>426</v>
      </c>
      <c r="F263" s="13" t="s">
        <v>818</v>
      </c>
      <c r="G263" s="14" t="s">
        <v>997</v>
      </c>
    </row>
    <row r="264" spans="1:7" x14ac:dyDescent="0.45">
      <c r="A264" s="6" t="s">
        <v>283</v>
      </c>
      <c r="B264" s="6" t="s">
        <v>295</v>
      </c>
      <c r="C264" s="6" t="str">
        <f t="shared" si="4"/>
        <v>Kessel 1</v>
      </c>
      <c r="D264" s="11" t="s">
        <v>157</v>
      </c>
      <c r="E264" s="12" t="s">
        <v>404</v>
      </c>
      <c r="F264" s="13" t="s">
        <v>793</v>
      </c>
      <c r="G264" s="14" t="s">
        <v>1011</v>
      </c>
    </row>
    <row r="265" spans="1:7" x14ac:dyDescent="0.45">
      <c r="A265" s="6" t="s">
        <v>283</v>
      </c>
      <c r="B265" s="6" t="s">
        <v>295</v>
      </c>
      <c r="C265" s="6" t="str">
        <f t="shared" si="4"/>
        <v>Kessel 2*</v>
      </c>
      <c r="D265" s="11" t="s">
        <v>299</v>
      </c>
      <c r="E265" s="12" t="s">
        <v>423</v>
      </c>
      <c r="F265" s="13" t="s">
        <v>819</v>
      </c>
      <c r="G265" s="14" t="s">
        <v>1022</v>
      </c>
    </row>
    <row r="266" spans="1:7" x14ac:dyDescent="0.45">
      <c r="A266" s="6" t="s">
        <v>283</v>
      </c>
      <c r="B266" s="6" t="s">
        <v>295</v>
      </c>
      <c r="C266" s="6" t="str">
        <f t="shared" si="4"/>
        <v>Allgemein</v>
      </c>
      <c r="D266" s="11" t="s">
        <v>285</v>
      </c>
      <c r="E266" s="12" t="s">
        <v>427</v>
      </c>
      <c r="F266" s="13" t="s">
        <v>820</v>
      </c>
      <c r="G266" s="14" t="s">
        <v>998</v>
      </c>
    </row>
    <row r="267" spans="1:7" x14ac:dyDescent="0.45">
      <c r="A267" s="6" t="s">
        <v>283</v>
      </c>
      <c r="B267" s="6" t="s">
        <v>295</v>
      </c>
      <c r="C267" s="6" t="str">
        <f t="shared" si="4"/>
        <v>Nennleistung</v>
      </c>
      <c r="D267" s="11" t="s">
        <v>155</v>
      </c>
      <c r="E267" s="12" t="s">
        <v>403</v>
      </c>
      <c r="F267" s="13" t="s">
        <v>791</v>
      </c>
      <c r="G267" s="14" t="s">
        <v>999</v>
      </c>
    </row>
    <row r="268" spans="1:7" x14ac:dyDescent="0.45">
      <c r="A268" s="6" t="s">
        <v>283</v>
      </c>
      <c r="B268" s="6" t="s">
        <v>295</v>
      </c>
      <c r="C268" s="6" t="str">
        <f t="shared" si="4"/>
        <v>Minimalleistung</v>
      </c>
      <c r="D268" s="11" t="s">
        <v>156</v>
      </c>
      <c r="E268" s="12" t="s">
        <v>1096</v>
      </c>
      <c r="F268" s="13" t="s">
        <v>792</v>
      </c>
      <c r="G268" s="14" t="s">
        <v>968</v>
      </c>
    </row>
    <row r="269" spans="1:7" x14ac:dyDescent="0.45">
      <c r="A269" s="6" t="s">
        <v>283</v>
      </c>
      <c r="B269" s="6" t="s">
        <v>295</v>
      </c>
      <c r="C269" s="6" t="str">
        <f t="shared" si="4"/>
        <v>Volumenstrom Kessel</v>
      </c>
      <c r="D269" s="11" t="s">
        <v>286</v>
      </c>
      <c r="E269" s="12" t="s">
        <v>428</v>
      </c>
      <c r="F269" s="13" t="s">
        <v>821</v>
      </c>
      <c r="G269" s="14" t="s">
        <v>1000</v>
      </c>
    </row>
    <row r="270" spans="1:7" x14ac:dyDescent="0.45">
      <c r="A270" s="6" t="s">
        <v>283</v>
      </c>
      <c r="B270" s="6" t="s">
        <v>295</v>
      </c>
      <c r="C270" s="6" t="str">
        <f t="shared" si="4"/>
        <v>Kesselaustrittstemperatur  (T1.2; T2.2)</v>
      </c>
      <c r="D270" s="11" t="s">
        <v>293</v>
      </c>
      <c r="E270" s="12" t="s">
        <v>1111</v>
      </c>
      <c r="F270" s="13" t="s">
        <v>822</v>
      </c>
      <c r="G270" s="14" t="s">
        <v>1037</v>
      </c>
    </row>
    <row r="271" spans="1:7" x14ac:dyDescent="0.45">
      <c r="A271" s="6" t="s">
        <v>283</v>
      </c>
      <c r="B271" s="6" t="s">
        <v>295</v>
      </c>
      <c r="C271" s="6" t="str">
        <f t="shared" si="4"/>
        <v>Kesseleintrittstemperatur (T1.1; T2.1)</v>
      </c>
      <c r="D271" s="11" t="s">
        <v>292</v>
      </c>
      <c r="E271" s="12" t="s">
        <v>1112</v>
      </c>
      <c r="F271" s="13" t="s">
        <v>823</v>
      </c>
      <c r="G271" s="14" t="s">
        <v>1001</v>
      </c>
    </row>
    <row r="272" spans="1:7" x14ac:dyDescent="0.45">
      <c r="A272" s="6" t="s">
        <v>283</v>
      </c>
      <c r="B272" s="6" t="s">
        <v>295</v>
      </c>
      <c r="C272" s="6" t="str">
        <f t="shared" ref="C272:C305" si="6">IF(C$1="F",E272,IF(C$1="I",F272,IF(C$1="E",G272,D272)))</f>
        <v>Vorlauftemperatur</v>
      </c>
      <c r="D272" s="11" t="s">
        <v>289</v>
      </c>
      <c r="E272" s="12" t="s">
        <v>1113</v>
      </c>
      <c r="F272" s="13" t="s">
        <v>824</v>
      </c>
      <c r="G272" s="14" t="s">
        <v>1032</v>
      </c>
    </row>
    <row r="273" spans="1:7" x14ac:dyDescent="0.45">
      <c r="A273" s="6" t="s">
        <v>283</v>
      </c>
      <c r="B273" s="6" t="s">
        <v>295</v>
      </c>
      <c r="C273" s="6" t="str">
        <f t="shared" si="6"/>
        <v>Rücklauftemperatur</v>
      </c>
      <c r="D273" s="11" t="s">
        <v>290</v>
      </c>
      <c r="E273" s="12" t="s">
        <v>1114</v>
      </c>
      <c r="F273" s="13" t="s">
        <v>825</v>
      </c>
      <c r="G273" s="14" t="s">
        <v>1002</v>
      </c>
    </row>
    <row r="274" spans="1:7" x14ac:dyDescent="0.45">
      <c r="A274" s="6" t="s">
        <v>283</v>
      </c>
      <c r="B274" s="6" t="s">
        <v>295</v>
      </c>
      <c r="C274" s="6" t="str">
        <f t="shared" si="6"/>
        <v>Volumenstrom Total</v>
      </c>
      <c r="D274" s="11" t="s">
        <v>294</v>
      </c>
      <c r="E274" s="12" t="s">
        <v>430</v>
      </c>
      <c r="F274" s="13" t="s">
        <v>826</v>
      </c>
      <c r="G274" s="14" t="s">
        <v>1003</v>
      </c>
    </row>
    <row r="275" spans="1:7" x14ac:dyDescent="0.45">
      <c r="A275" s="6" t="s">
        <v>283</v>
      </c>
      <c r="B275" s="6" t="s">
        <v>295</v>
      </c>
      <c r="C275" s="6" t="str">
        <f t="shared" si="6"/>
        <v>Geplantes Speichervolumen</v>
      </c>
      <c r="D275" s="11" t="s">
        <v>178</v>
      </c>
      <c r="E275" s="12" t="s">
        <v>424</v>
      </c>
      <c r="F275" s="13" t="s">
        <v>813</v>
      </c>
      <c r="G275" s="14" t="s">
        <v>1033</v>
      </c>
    </row>
    <row r="276" spans="1:7" ht="23.15" x14ac:dyDescent="0.45">
      <c r="A276" s="6" t="s">
        <v>283</v>
      </c>
      <c r="B276" s="6" t="s">
        <v>295</v>
      </c>
      <c r="C276" s="6" t="str">
        <f t="shared" si="6"/>
        <v>** Bei den Kesseln ist ein Bypass zu empfehlen (siehe Standard-Schaltung Teil I bei WE 2 oder WE 6).</v>
      </c>
      <c r="D276" s="11" t="s">
        <v>679</v>
      </c>
      <c r="E276" s="12" t="s">
        <v>1115</v>
      </c>
      <c r="F276" s="13" t="s">
        <v>828</v>
      </c>
      <c r="G276" s="14" t="s">
        <v>1004</v>
      </c>
    </row>
    <row r="277" spans="1:7" x14ac:dyDescent="0.45">
      <c r="A277" s="6" t="s">
        <v>283</v>
      </c>
      <c r="B277" s="6" t="s">
        <v>295</v>
      </c>
      <c r="C277" s="6" t="str">
        <f t="shared" si="6"/>
        <v>Speicher</v>
      </c>
      <c r="D277" s="11" t="s">
        <v>26</v>
      </c>
      <c r="E277" s="12" t="s">
        <v>335</v>
      </c>
      <c r="F277" s="13" t="s">
        <v>827</v>
      </c>
      <c r="G277" s="14" t="s">
        <v>937</v>
      </c>
    </row>
    <row r="278" spans="1:7" ht="23.15" x14ac:dyDescent="0.45">
      <c r="A278" s="6" t="s">
        <v>283</v>
      </c>
      <c r="B278" s="6" t="s">
        <v>295</v>
      </c>
      <c r="C278" s="6" t="str">
        <f t="shared" si="6"/>
        <v>* Bei mehr als 2 Kesseln wird die Summe berechnet (Leistung, Volumenstrom etc.)</v>
      </c>
      <c r="D278" s="11" t="s">
        <v>1346</v>
      </c>
      <c r="E278" s="12" t="s">
        <v>429</v>
      </c>
      <c r="F278" s="13" t="s">
        <v>1179</v>
      </c>
      <c r="G278" s="14" t="s">
        <v>1005</v>
      </c>
    </row>
    <row r="279" spans="1:7" x14ac:dyDescent="0.45">
      <c r="A279" s="6" t="s">
        <v>283</v>
      </c>
      <c r="B279" s="6" t="s">
        <v>295</v>
      </c>
      <c r="C279" s="6" t="str">
        <f t="shared" si="6"/>
        <v>Keine</v>
      </c>
      <c r="D279" s="11" t="s">
        <v>1123</v>
      </c>
      <c r="E279" s="12" t="s">
        <v>1125</v>
      </c>
      <c r="F279" s="13" t="s">
        <v>1126</v>
      </c>
      <c r="G279" s="14" t="s">
        <v>1124</v>
      </c>
    </row>
    <row r="280" spans="1:7" x14ac:dyDescent="0.45">
      <c r="A280" s="6" t="s">
        <v>283</v>
      </c>
      <c r="B280" s="6" t="s">
        <v>295</v>
      </c>
      <c r="C280" s="6" t="str">
        <f t="shared" si="6"/>
        <v>Angaben fehlen</v>
      </c>
      <c r="D280" s="11" t="s">
        <v>1127</v>
      </c>
      <c r="E280" s="12" t="s">
        <v>1129</v>
      </c>
      <c r="F280" s="13" t="s">
        <v>1128</v>
      </c>
      <c r="G280" s="14" t="s">
        <v>1130</v>
      </c>
    </row>
    <row r="281" spans="1:7" x14ac:dyDescent="0.45">
      <c r="A281" s="6" t="s">
        <v>283</v>
      </c>
      <c r="B281" s="6" t="s">
        <v>295</v>
      </c>
      <c r="C281" s="6" t="str">
        <f t="shared" si="6"/>
        <v>Validierung: Vollständig ausgefüllt!</v>
      </c>
      <c r="D281" s="11" t="s">
        <v>1131</v>
      </c>
      <c r="E281" s="12" t="s">
        <v>1135</v>
      </c>
      <c r="F281" s="13" t="s">
        <v>1398</v>
      </c>
      <c r="G281" s="14" t="s">
        <v>1133</v>
      </c>
    </row>
    <row r="282" spans="1:7" ht="12.55" customHeight="1" x14ac:dyDescent="0.45">
      <c r="A282" s="6" t="s">
        <v>283</v>
      </c>
      <c r="B282" s="6" t="s">
        <v>295</v>
      </c>
      <c r="C282" s="6" t="str">
        <f t="shared" si="6"/>
        <v>Validierung: Nicht vollständig ausgefüllt!</v>
      </c>
      <c r="D282" s="11" t="s">
        <v>1132</v>
      </c>
      <c r="E282" s="12" t="s">
        <v>1136</v>
      </c>
      <c r="F282" s="13" t="s">
        <v>1399</v>
      </c>
      <c r="G282" s="14" t="s">
        <v>1134</v>
      </c>
    </row>
    <row r="283" spans="1:7" ht="12.55" customHeight="1" x14ac:dyDescent="0.45">
      <c r="A283" s="6" t="s">
        <v>283</v>
      </c>
      <c r="B283" s="6" t="s">
        <v>295</v>
      </c>
      <c r="C283" s="6" t="str">
        <f>IF(C$1="F",E283,IF(C$1="I",F283,IF(C$1="E",G283,D283)))</f>
        <v>Hinweise ab Zeile 74</v>
      </c>
      <c r="D283" s="11" t="s">
        <v>1363</v>
      </c>
      <c r="E283" s="12" t="s">
        <v>1365</v>
      </c>
      <c r="F283" s="13" t="s">
        <v>1364</v>
      </c>
      <c r="G283" s="14" t="s">
        <v>1366</v>
      </c>
    </row>
    <row r="284" spans="1:7" ht="23.15" x14ac:dyDescent="0.45">
      <c r="A284" s="6" t="s">
        <v>283</v>
      </c>
      <c r="B284" s="6" t="s">
        <v>295</v>
      </c>
      <c r="C284" s="6" t="str">
        <f t="shared" si="6"/>
        <v>Es sind noch folgende Pflichtfelder im Projektformular auszufüllen:</v>
      </c>
      <c r="D284" s="11" t="s">
        <v>1138</v>
      </c>
      <c r="E284" s="12" t="s">
        <v>1137</v>
      </c>
      <c r="F284" s="13" t="s">
        <v>1383</v>
      </c>
      <c r="G284" s="14" t="s">
        <v>1139</v>
      </c>
    </row>
    <row r="285" spans="1:7" ht="23.15" x14ac:dyDescent="0.45">
      <c r="A285" s="6" t="s">
        <v>283</v>
      </c>
      <c r="B285" s="6" t="s">
        <v>295</v>
      </c>
      <c r="C285" s="6" t="str">
        <f t="shared" si="6"/>
        <v>Vorlauftemperatur für Warmwasserbereitung relativ niedrig</v>
      </c>
      <c r="D285" s="11" t="s">
        <v>1224</v>
      </c>
      <c r="E285" s="12" t="s">
        <v>1143</v>
      </c>
      <c r="F285" s="13" t="s">
        <v>1141</v>
      </c>
      <c r="G285" s="14" t="s">
        <v>1142</v>
      </c>
    </row>
    <row r="286" spans="1:7" x14ac:dyDescent="0.45">
      <c r="A286" s="6" t="s">
        <v>283</v>
      </c>
      <c r="B286" s="6" t="s">
        <v>295</v>
      </c>
      <c r="C286" s="6" t="str">
        <f t="shared" si="6"/>
        <v>Vorlauf-Temperatur Netz &gt; Kessel</v>
      </c>
      <c r="D286" s="11" t="s">
        <v>1146</v>
      </c>
      <c r="E286" s="12" t="s">
        <v>1148</v>
      </c>
      <c r="F286" s="13" t="s">
        <v>1149</v>
      </c>
      <c r="G286" s="14" t="s">
        <v>1147</v>
      </c>
    </row>
    <row r="287" spans="1:7" ht="34.75" x14ac:dyDescent="0.45">
      <c r="A287" s="6" t="s">
        <v>283</v>
      </c>
      <c r="B287" s="6" t="s">
        <v>295</v>
      </c>
      <c r="C287" s="6" t="str">
        <f t="shared" si="6"/>
        <v>* Nutzenergie; Wurden Gebäudesanierungen (geplant oder in den letzten 3 Jahren umgesetzt) sowie der Jahresnutzungsgrad der bestehenden Anlage berücksichtigt?</v>
      </c>
      <c r="D287" s="11" t="s">
        <v>1428</v>
      </c>
      <c r="E287" s="12" t="s">
        <v>1429</v>
      </c>
      <c r="F287" s="13" t="s">
        <v>1430</v>
      </c>
      <c r="G287" s="14" t="s">
        <v>1431</v>
      </c>
    </row>
    <row r="288" spans="1:7" x14ac:dyDescent="0.45">
      <c r="A288" s="6" t="s">
        <v>283</v>
      </c>
      <c r="B288" s="6" t="s">
        <v>295</v>
      </c>
      <c r="C288" s="6" t="str">
        <f t="shared" si="6"/>
        <v>Nein</v>
      </c>
      <c r="D288" s="11" t="s">
        <v>90</v>
      </c>
      <c r="E288" s="12" t="s">
        <v>315</v>
      </c>
      <c r="F288" s="13" t="s">
        <v>317</v>
      </c>
      <c r="G288" s="14" t="s">
        <v>317</v>
      </c>
    </row>
    <row r="289" spans="1:7" x14ac:dyDescent="0.45">
      <c r="A289" s="6" t="s">
        <v>283</v>
      </c>
      <c r="B289" s="6" t="s">
        <v>295</v>
      </c>
      <c r="C289" s="6" t="str">
        <f t="shared" si="6"/>
        <v>Solarthermie</v>
      </c>
      <c r="D289" s="11" t="s">
        <v>1210</v>
      </c>
      <c r="E289" s="12" t="s">
        <v>1215</v>
      </c>
      <c r="F289" s="13" t="s">
        <v>1384</v>
      </c>
      <c r="G289" s="14" t="s">
        <v>1213</v>
      </c>
    </row>
    <row r="290" spans="1:7" x14ac:dyDescent="0.45">
      <c r="A290" s="6" t="s">
        <v>283</v>
      </c>
      <c r="B290" s="6" t="s">
        <v>295</v>
      </c>
      <c r="C290" s="6" t="str">
        <f t="shared" si="6"/>
        <v>Wärmepumpe</v>
      </c>
      <c r="D290" s="11" t="s">
        <v>1211</v>
      </c>
      <c r="E290" s="12" t="s">
        <v>1216</v>
      </c>
      <c r="F290" s="13" t="s">
        <v>1218</v>
      </c>
      <c r="G290" s="14" t="s">
        <v>1214</v>
      </c>
    </row>
    <row r="291" spans="1:7" x14ac:dyDescent="0.45">
      <c r="A291" s="6" t="s">
        <v>283</v>
      </c>
      <c r="B291" s="6" t="s">
        <v>295</v>
      </c>
      <c r="C291" s="6" t="str">
        <f t="shared" si="6"/>
        <v>Andere:</v>
      </c>
      <c r="D291" s="11" t="s">
        <v>1212</v>
      </c>
      <c r="E291" s="12" t="s">
        <v>1217</v>
      </c>
      <c r="F291" s="13" t="s">
        <v>1219</v>
      </c>
      <c r="G291" s="14" t="s">
        <v>864</v>
      </c>
    </row>
    <row r="292" spans="1:7" x14ac:dyDescent="0.45">
      <c r="A292" s="6" t="s">
        <v>283</v>
      </c>
      <c r="B292" s="6" t="s">
        <v>295</v>
      </c>
      <c r="C292" s="6" t="str">
        <f t="shared" si="6"/>
        <v>Vereinfachtes Prinzipschema</v>
      </c>
      <c r="D292" s="11" t="s">
        <v>1337</v>
      </c>
      <c r="E292" s="12" t="s">
        <v>1339</v>
      </c>
      <c r="F292" s="13" t="s">
        <v>1385</v>
      </c>
      <c r="G292" s="14" t="s">
        <v>1338</v>
      </c>
    </row>
    <row r="293" spans="1:7" x14ac:dyDescent="0.45">
      <c r="A293" s="6" t="s">
        <v>283</v>
      </c>
      <c r="B293" s="6" t="s">
        <v>295</v>
      </c>
      <c r="C293" s="6">
        <f t="shared" si="6"/>
        <v>0</v>
      </c>
    </row>
    <row r="294" spans="1:7" x14ac:dyDescent="0.45">
      <c r="A294" s="6" t="s">
        <v>283</v>
      </c>
      <c r="B294" s="6" t="s">
        <v>295</v>
      </c>
      <c r="C294" s="6">
        <f t="shared" si="6"/>
        <v>0</v>
      </c>
    </row>
    <row r="295" spans="1:7" x14ac:dyDescent="0.45">
      <c r="A295" s="6" t="s">
        <v>283</v>
      </c>
      <c r="B295" s="6" t="s">
        <v>295</v>
      </c>
      <c r="C295" s="6">
        <f t="shared" si="6"/>
        <v>0</v>
      </c>
    </row>
    <row r="296" spans="1:7" x14ac:dyDescent="0.45">
      <c r="A296" s="6" t="s">
        <v>283</v>
      </c>
      <c r="B296" s="6" t="s">
        <v>295</v>
      </c>
      <c r="C296" s="6">
        <f t="shared" si="6"/>
        <v>0</v>
      </c>
    </row>
    <row r="297" spans="1:7" x14ac:dyDescent="0.45">
      <c r="A297" s="6" t="s">
        <v>283</v>
      </c>
      <c r="B297" s="6" t="s">
        <v>295</v>
      </c>
      <c r="C297" s="6">
        <f t="shared" si="6"/>
        <v>0</v>
      </c>
    </row>
    <row r="298" spans="1:7" x14ac:dyDescent="0.45">
      <c r="A298" s="6" t="s">
        <v>283</v>
      </c>
      <c r="B298" s="6" t="s">
        <v>295</v>
      </c>
      <c r="C298" s="6">
        <f t="shared" si="6"/>
        <v>0</v>
      </c>
    </row>
    <row r="299" spans="1:7" x14ac:dyDescent="0.45">
      <c r="A299" s="6" t="s">
        <v>283</v>
      </c>
      <c r="B299" s="6" t="s">
        <v>295</v>
      </c>
      <c r="C299" s="6">
        <f t="shared" si="6"/>
        <v>0</v>
      </c>
    </row>
    <row r="300" spans="1:7" x14ac:dyDescent="0.45">
      <c r="A300" s="6" t="s">
        <v>283</v>
      </c>
      <c r="B300" s="6" t="s">
        <v>295</v>
      </c>
      <c r="C300" s="6">
        <f t="shared" si="6"/>
        <v>0</v>
      </c>
    </row>
    <row r="301" spans="1:7" x14ac:dyDescent="0.45">
      <c r="A301" s="6" t="s">
        <v>283</v>
      </c>
      <c r="B301" s="6" t="s">
        <v>295</v>
      </c>
      <c r="C301" s="6">
        <f t="shared" si="6"/>
        <v>0</v>
      </c>
    </row>
    <row r="302" spans="1:7" x14ac:dyDescent="0.45">
      <c r="A302" s="6" t="s">
        <v>283</v>
      </c>
      <c r="B302" s="6" t="s">
        <v>295</v>
      </c>
      <c r="C302" s="6">
        <f t="shared" si="6"/>
        <v>0</v>
      </c>
    </row>
    <row r="303" spans="1:7" x14ac:dyDescent="0.45">
      <c r="A303" s="6" t="s">
        <v>283</v>
      </c>
      <c r="B303" s="6" t="s">
        <v>295</v>
      </c>
      <c r="C303" s="6">
        <f t="shared" si="6"/>
        <v>0</v>
      </c>
    </row>
    <row r="304" spans="1:7" x14ac:dyDescent="0.45">
      <c r="A304" s="6" t="s">
        <v>283</v>
      </c>
      <c r="B304" s="6" t="s">
        <v>295</v>
      </c>
      <c r="C304" s="6">
        <f t="shared" si="6"/>
        <v>0</v>
      </c>
    </row>
    <row r="305" spans="1:3" x14ac:dyDescent="0.45">
      <c r="A305" s="6" t="s">
        <v>283</v>
      </c>
      <c r="B305" s="6" t="s">
        <v>295</v>
      </c>
      <c r="C305" s="6">
        <f t="shared" si="6"/>
        <v>0</v>
      </c>
    </row>
    <row r="306" spans="1:3" x14ac:dyDescent="0.45"/>
    <row r="307" spans="1:3" x14ac:dyDescent="0.45"/>
    <row r="308" spans="1:3" x14ac:dyDescent="0.45"/>
    <row r="309" spans="1:3" x14ac:dyDescent="0.45"/>
    <row r="310" spans="1:3" x14ac:dyDescent="0.45"/>
    <row r="311" spans="1:3" x14ac:dyDescent="0.45"/>
    <row r="312" spans="1:3" x14ac:dyDescent="0.45"/>
    <row r="313" spans="1:3" x14ac:dyDescent="0.45"/>
    <row r="314" spans="1:3" x14ac:dyDescent="0.45"/>
    <row r="319" spans="1:3" x14ac:dyDescent="0.45"/>
    <row r="320" spans="1:3" x14ac:dyDescent="0.45"/>
    <row r="327" x14ac:dyDescent="0.45"/>
    <row r="343" x14ac:dyDescent="0.45"/>
    <row r="351" x14ac:dyDescent="0.45"/>
    <row r="353" x14ac:dyDescent="0.45"/>
    <row r="354" x14ac:dyDescent="0.45"/>
    <row r="355" x14ac:dyDescent="0.45"/>
    <row r="356" x14ac:dyDescent="0.45"/>
    <row r="357" x14ac:dyDescent="0.45"/>
    <row r="358" x14ac:dyDescent="0.45"/>
    <row r="359" x14ac:dyDescent="0.45"/>
    <row r="360" x14ac:dyDescent="0.45"/>
    <row r="361" x14ac:dyDescent="0.45"/>
    <row r="363" x14ac:dyDescent="0.45"/>
    <row r="364" x14ac:dyDescent="0.45"/>
    <row r="365" x14ac:dyDescent="0.45"/>
    <row r="366" x14ac:dyDescent="0.45"/>
    <row r="367" x14ac:dyDescent="0.45"/>
    <row r="368" x14ac:dyDescent="0.45"/>
    <row r="369" x14ac:dyDescent="0.45"/>
    <row r="370" x14ac:dyDescent="0.45"/>
    <row r="371" x14ac:dyDescent="0.45"/>
    <row r="372" x14ac:dyDescent="0.45"/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FC6E-9B76-48A4-BAD2-14E5FB4A8210}">
  <sheetPr codeName="Tabelle1"/>
  <dimension ref="A1:H52"/>
  <sheetViews>
    <sheetView topLeftCell="A4" zoomScale="140" zoomScaleNormal="140" workbookViewId="0">
      <selection activeCell="C54" sqref="C54"/>
    </sheetView>
  </sheetViews>
  <sheetFormatPr baseColWidth="10" defaultColWidth="10.640625" defaultRowHeight="10.3" x14ac:dyDescent="0.25"/>
  <cols>
    <col min="1" max="1" width="7.0703125" style="17" bestFit="1" customWidth="1"/>
    <col min="2" max="2" width="3.140625" style="17" bestFit="1" customWidth="1"/>
    <col min="3" max="4" width="40.5703125" style="17" customWidth="1"/>
    <col min="5" max="5" width="2.2109375" style="17" bestFit="1" customWidth="1"/>
    <col min="6" max="6" width="8.7109375" style="17" customWidth="1"/>
    <col min="7" max="7" width="10.640625" style="17"/>
    <col min="8" max="8" width="32.92578125" style="17" customWidth="1"/>
    <col min="9" max="16384" width="10.640625" style="17"/>
  </cols>
  <sheetData>
    <row r="1" spans="1:8" x14ac:dyDescent="0.25">
      <c r="A1" s="188" t="s">
        <v>1121</v>
      </c>
    </row>
    <row r="2" spans="1:8" x14ac:dyDescent="0.25">
      <c r="A2" s="73" t="str">
        <f>Text!C$5</f>
        <v>Seite 1</v>
      </c>
      <c r="B2" s="73" t="s">
        <v>51</v>
      </c>
      <c r="C2" s="73" t="str">
        <f>Text!C7</f>
        <v>Bauherrschaft</v>
      </c>
      <c r="D2" s="73" t="str">
        <f>IF(Projektformular!G9="",A2&amp;"  "&amp;B2&amp;": "&amp;C2,"")</f>
        <v>Seite 1  A01: Bauherrschaft</v>
      </c>
      <c r="E2" s="73">
        <v>1</v>
      </c>
      <c r="F2" s="73">
        <f>IF(D2="","",E2)</f>
        <v>1</v>
      </c>
      <c r="G2" s="73" t="e">
        <f t="shared" ref="G2:G33" si="0">SMALL($F$2:$F$51,E2)</f>
        <v>#DIV/0!</v>
      </c>
      <c r="H2" s="73" t="str">
        <f ca="1">IF(ISERROR(G2)=TRUE,"",OFFSET($A$1,G2,3))</f>
        <v/>
      </c>
    </row>
    <row r="3" spans="1:8" x14ac:dyDescent="0.25">
      <c r="A3" s="73" t="str">
        <f>Text!C$5</f>
        <v>Seite 1</v>
      </c>
      <c r="B3" s="73" t="s">
        <v>51</v>
      </c>
      <c r="C3" s="73" t="str">
        <f>Text!C8</f>
        <v>Ansprechperson/Kontaktperson</v>
      </c>
      <c r="D3" s="73" t="str">
        <f>IF(Projektformular!G10="",A3&amp;"  "&amp;B3&amp;": "&amp;C3,"")</f>
        <v>Seite 1  A01: Ansprechperson/Kontaktperson</v>
      </c>
      <c r="E3" s="73">
        <v>2</v>
      </c>
      <c r="F3" s="73">
        <f t="shared" ref="F3:F51" si="1">IF(D3="","",E3)</f>
        <v>2</v>
      </c>
      <c r="G3" s="73" t="e">
        <f t="shared" si="0"/>
        <v>#DIV/0!</v>
      </c>
      <c r="H3" s="73" t="str">
        <f ca="1">IF(ISERROR(G3)=TRUE,"",OFFSET($A$1,G3,3))</f>
        <v/>
      </c>
    </row>
    <row r="4" spans="1:8" x14ac:dyDescent="0.25">
      <c r="A4" s="73" t="str">
        <f>Text!C$5</f>
        <v>Seite 1</v>
      </c>
      <c r="B4" s="73" t="s">
        <v>51</v>
      </c>
      <c r="C4" s="73" t="str">
        <f>Text!C9</f>
        <v>Strasse</v>
      </c>
      <c r="D4" s="73" t="str">
        <f>IF(Projektformular!G11="",A4&amp;"  "&amp;B4&amp;": "&amp;C4,"")</f>
        <v>Seite 1  A01: Strasse</v>
      </c>
      <c r="E4" s="73">
        <v>3</v>
      </c>
      <c r="F4" s="73">
        <f t="shared" si="1"/>
        <v>3</v>
      </c>
      <c r="G4" s="73" t="e">
        <f t="shared" si="0"/>
        <v>#DIV/0!</v>
      </c>
      <c r="H4" s="73" t="str">
        <f t="shared" ref="H4:H51" ca="1" si="2">IF(ISERROR(G4)=TRUE,"",OFFSET($A$1,G4,3))</f>
        <v/>
      </c>
    </row>
    <row r="5" spans="1:8" x14ac:dyDescent="0.25">
      <c r="A5" s="73" t="str">
        <f>Text!C$5</f>
        <v>Seite 1</v>
      </c>
      <c r="B5" s="73" t="s">
        <v>51</v>
      </c>
      <c r="C5" s="73" t="str">
        <f>Text!C10</f>
        <v>Telefon</v>
      </c>
      <c r="D5" s="73" t="str">
        <f>IF(Projektformular!G12="",A5&amp;"  "&amp;B5&amp;": "&amp;C5,"")</f>
        <v>Seite 1  A01: Telefon</v>
      </c>
      <c r="E5" s="73">
        <v>4</v>
      </c>
      <c r="F5" s="73">
        <f t="shared" si="1"/>
        <v>4</v>
      </c>
      <c r="G5" s="73" t="e">
        <f t="shared" si="0"/>
        <v>#DIV/0!</v>
      </c>
      <c r="H5" s="73" t="str">
        <f t="shared" ca="1" si="2"/>
        <v/>
      </c>
    </row>
    <row r="6" spans="1:8" x14ac:dyDescent="0.25">
      <c r="A6" s="73" t="str">
        <f>Text!C$5</f>
        <v>Seite 1</v>
      </c>
      <c r="B6" s="73" t="s">
        <v>51</v>
      </c>
      <c r="C6" s="73" t="str">
        <f>Text!C11</f>
        <v>E-Mail</v>
      </c>
      <c r="D6" s="73" t="str">
        <f>IF(Projektformular!G13="",A6&amp;"  "&amp;B6&amp;": "&amp;C6,"")</f>
        <v>Seite 1  A01: E-Mail</v>
      </c>
      <c r="E6" s="73">
        <v>5</v>
      </c>
      <c r="F6" s="73">
        <f t="shared" si="1"/>
        <v>5</v>
      </c>
      <c r="G6" s="73" t="e">
        <f t="shared" si="0"/>
        <v>#DIV/0!</v>
      </c>
      <c r="H6" s="73" t="str">
        <f t="shared" ca="1" si="2"/>
        <v/>
      </c>
    </row>
    <row r="7" spans="1:8" x14ac:dyDescent="0.25">
      <c r="A7" s="73" t="str">
        <f>Text!C$5</f>
        <v>Seite 1</v>
      </c>
      <c r="B7" s="73" t="s">
        <v>51</v>
      </c>
      <c r="C7" s="73" t="str">
        <f>Text!C12</f>
        <v>PLZ, Ort</v>
      </c>
      <c r="D7" s="73" t="str">
        <f>IF(Projektformular!N11="",A7&amp;"  "&amp;B7&amp;": "&amp;C7,"")</f>
        <v>Seite 1  A01: PLZ, Ort</v>
      </c>
      <c r="E7" s="73">
        <v>6</v>
      </c>
      <c r="F7" s="73">
        <f t="shared" si="1"/>
        <v>6</v>
      </c>
      <c r="G7" s="73" t="e">
        <f t="shared" si="0"/>
        <v>#DIV/0!</v>
      </c>
      <c r="H7" s="73" t="str">
        <f t="shared" ca="1" si="2"/>
        <v/>
      </c>
    </row>
    <row r="8" spans="1:8" x14ac:dyDescent="0.25">
      <c r="A8" s="73" t="str">
        <f>Text!C$5</f>
        <v>Seite 1</v>
      </c>
      <c r="B8" s="73" t="s">
        <v>54</v>
      </c>
      <c r="C8" s="73" t="str">
        <f>Text!C14</f>
        <v>Verantwortlich für vorliegende Projektangaben</v>
      </c>
      <c r="D8" s="73" t="str">
        <f>IF(Projektformular!G17="",A8&amp;"  "&amp;B8&amp;": "&amp;C8,"")</f>
        <v>Seite 1  A02: Verantwortlich für vorliegende Projektangaben</v>
      </c>
      <c r="E8" s="73">
        <v>7</v>
      </c>
      <c r="F8" s="73">
        <f t="shared" si="1"/>
        <v>7</v>
      </c>
      <c r="G8" s="73" t="e">
        <f t="shared" si="0"/>
        <v>#DIV/0!</v>
      </c>
      <c r="H8" s="73" t="str">
        <f t="shared" ca="1" si="2"/>
        <v/>
      </c>
    </row>
    <row r="9" spans="1:8" x14ac:dyDescent="0.25">
      <c r="A9" s="73" t="str">
        <f>Text!C$5</f>
        <v>Seite 1</v>
      </c>
      <c r="B9" s="73" t="s">
        <v>54</v>
      </c>
      <c r="C9" s="73" t="str">
        <f>Text!C8</f>
        <v>Ansprechperson/Kontaktperson</v>
      </c>
      <c r="D9" s="73" t="str">
        <f>IF(Projektformular!G18="",A9&amp;"  "&amp;B9&amp;": "&amp;C9,"")</f>
        <v>Seite 1  A02: Ansprechperson/Kontaktperson</v>
      </c>
      <c r="E9" s="73">
        <v>8</v>
      </c>
      <c r="F9" s="73">
        <f t="shared" si="1"/>
        <v>8</v>
      </c>
      <c r="G9" s="73" t="e">
        <f t="shared" si="0"/>
        <v>#DIV/0!</v>
      </c>
      <c r="H9" s="73" t="str">
        <f t="shared" ca="1" si="2"/>
        <v/>
      </c>
    </row>
    <row r="10" spans="1:8" x14ac:dyDescent="0.25">
      <c r="A10" s="73" t="str">
        <f>Text!C$5</f>
        <v>Seite 1</v>
      </c>
      <c r="B10" s="73" t="s">
        <v>54</v>
      </c>
      <c r="C10" s="73" t="str">
        <f>Text!C9</f>
        <v>Strasse</v>
      </c>
      <c r="D10" s="73" t="str">
        <f>IF(Projektformular!G19="",A10&amp;"  "&amp;B10&amp;": "&amp;C10,"")</f>
        <v>Seite 1  A02: Strasse</v>
      </c>
      <c r="E10" s="73">
        <v>9</v>
      </c>
      <c r="F10" s="73">
        <f t="shared" si="1"/>
        <v>9</v>
      </c>
      <c r="G10" s="73" t="e">
        <f t="shared" si="0"/>
        <v>#DIV/0!</v>
      </c>
      <c r="H10" s="73" t="str">
        <f t="shared" ca="1" si="2"/>
        <v/>
      </c>
    </row>
    <row r="11" spans="1:8" x14ac:dyDescent="0.25">
      <c r="A11" s="73" t="str">
        <f>Text!C$5</f>
        <v>Seite 1</v>
      </c>
      <c r="B11" s="73" t="s">
        <v>54</v>
      </c>
      <c r="C11" s="73" t="str">
        <f>Text!C10</f>
        <v>Telefon</v>
      </c>
      <c r="D11" s="73" t="str">
        <f>IF(Projektformular!G20="",A11&amp;"  "&amp;B11&amp;": "&amp;C11,"")</f>
        <v>Seite 1  A02: Telefon</v>
      </c>
      <c r="E11" s="73">
        <v>10</v>
      </c>
      <c r="F11" s="73">
        <f t="shared" si="1"/>
        <v>10</v>
      </c>
      <c r="G11" s="73" t="e">
        <f t="shared" si="0"/>
        <v>#DIV/0!</v>
      </c>
      <c r="H11" s="73" t="str">
        <f t="shared" ca="1" si="2"/>
        <v/>
      </c>
    </row>
    <row r="12" spans="1:8" x14ac:dyDescent="0.25">
      <c r="A12" s="73" t="str">
        <f>Text!C$5</f>
        <v>Seite 1</v>
      </c>
      <c r="B12" s="73" t="s">
        <v>54</v>
      </c>
      <c r="C12" s="73" t="str">
        <f>Text!C11</f>
        <v>E-Mail</v>
      </c>
      <c r="D12" s="73" t="str">
        <f>IF(Projektformular!G21="",A12&amp;"  "&amp;B12&amp;": "&amp;C12,"")</f>
        <v>Seite 1  A02: E-Mail</v>
      </c>
      <c r="E12" s="73">
        <v>11</v>
      </c>
      <c r="F12" s="73">
        <f t="shared" si="1"/>
        <v>11</v>
      </c>
      <c r="G12" s="73" t="e">
        <f t="shared" si="0"/>
        <v>#DIV/0!</v>
      </c>
      <c r="H12" s="73" t="str">
        <f t="shared" ca="1" si="2"/>
        <v/>
      </c>
    </row>
    <row r="13" spans="1:8" x14ac:dyDescent="0.25">
      <c r="A13" s="73" t="str">
        <f>Text!C$5</f>
        <v>Seite 1</v>
      </c>
      <c r="B13" s="73" t="s">
        <v>54</v>
      </c>
      <c r="C13" s="73" t="str">
        <f>Text!C12</f>
        <v>PLZ, Ort</v>
      </c>
      <c r="D13" s="73" t="str">
        <f>IF(Projektformular!N19="",A13&amp;"  "&amp;B13&amp;": "&amp;C13,"")</f>
        <v>Seite 1  A02: PLZ, Ort</v>
      </c>
      <c r="E13" s="73">
        <v>12</v>
      </c>
      <c r="F13" s="73">
        <f t="shared" si="1"/>
        <v>12</v>
      </c>
      <c r="G13" s="73" t="e">
        <f t="shared" si="0"/>
        <v>#DIV/0!</v>
      </c>
      <c r="H13" s="73" t="str">
        <f t="shared" ca="1" si="2"/>
        <v/>
      </c>
    </row>
    <row r="14" spans="1:8" x14ac:dyDescent="0.25">
      <c r="A14" s="73" t="str">
        <f>Text!C$5</f>
        <v>Seite 1</v>
      </c>
      <c r="B14" s="73" t="s">
        <v>54</v>
      </c>
      <c r="C14" s="73" t="str">
        <f>Text!C15</f>
        <v>Funktion</v>
      </c>
      <c r="D14" s="73" t="str">
        <f>IF(Projektformular!N20="",A14&amp;"  "&amp;B14&amp;": "&amp;C14,"")</f>
        <v>Seite 1  A02: Funktion</v>
      </c>
      <c r="E14" s="73">
        <v>13</v>
      </c>
      <c r="F14" s="73">
        <f t="shared" si="1"/>
        <v>13</v>
      </c>
      <c r="G14" s="73" t="e">
        <f t="shared" si="0"/>
        <v>#DIV/0!</v>
      </c>
      <c r="H14" s="73" t="str">
        <f t="shared" ca="1" si="2"/>
        <v/>
      </c>
    </row>
    <row r="15" spans="1:8" x14ac:dyDescent="0.25">
      <c r="A15" s="73" t="str">
        <f>Text!C$5</f>
        <v>Seite 1</v>
      </c>
      <c r="B15" s="73" t="s">
        <v>54</v>
      </c>
      <c r="C15" s="73" t="str">
        <f>Text!C16</f>
        <v>Anlagenbeschreibung</v>
      </c>
      <c r="D15" s="73" t="str">
        <f>IF(Projektformular!G22="",A15&amp;"  "&amp;B15&amp;": "&amp;C15,"")</f>
        <v>Seite 1  A02: Anlagenbeschreibung</v>
      </c>
      <c r="E15" s="73">
        <v>14</v>
      </c>
      <c r="F15" s="73">
        <f t="shared" si="1"/>
        <v>14</v>
      </c>
      <c r="G15" s="73" t="e">
        <f t="shared" si="0"/>
        <v>#DIV/0!</v>
      </c>
      <c r="H15" s="73" t="str">
        <f t="shared" ca="1" si="2"/>
        <v/>
      </c>
    </row>
    <row r="16" spans="1:8" x14ac:dyDescent="0.25">
      <c r="A16" s="73" t="str">
        <f>Text!C$5</f>
        <v>Seite 1</v>
      </c>
      <c r="B16" s="73" t="s">
        <v>52</v>
      </c>
      <c r="C16" s="73" t="str">
        <f>Text!C57</f>
        <v>Datum</v>
      </c>
      <c r="D16" s="73" t="str">
        <f>IF(Projektformular!B40="",A16&amp;"  "&amp;B16&amp;": "&amp;C16,"")</f>
        <v>Seite 1  A03: Datum</v>
      </c>
      <c r="E16" s="73">
        <v>15</v>
      </c>
      <c r="F16" s="73">
        <f t="shared" si="1"/>
        <v>15</v>
      </c>
      <c r="G16" s="73" t="e">
        <f t="shared" si="0"/>
        <v>#DIV/0!</v>
      </c>
      <c r="H16" s="73" t="str">
        <f t="shared" ca="1" si="2"/>
        <v/>
      </c>
    </row>
    <row r="17" spans="1:8" x14ac:dyDescent="0.25">
      <c r="A17" s="73" t="str">
        <f>Text!C$64</f>
        <v>Seite 2</v>
      </c>
      <c r="B17" s="73" t="s">
        <v>101</v>
      </c>
      <c r="C17" s="73" t="str">
        <f>Text!C66</f>
        <v>geplanter Baubeginn</v>
      </c>
      <c r="D17" s="73" t="str">
        <f>IF(Projektformular!AA9="",A17&amp;"  "&amp;B17&amp;": "&amp;C17,"")</f>
        <v>Seite 2  A05: geplanter Baubeginn</v>
      </c>
      <c r="E17" s="73">
        <v>16</v>
      </c>
      <c r="F17" s="73">
        <f t="shared" si="1"/>
        <v>16</v>
      </c>
      <c r="G17" s="73" t="e">
        <f t="shared" si="0"/>
        <v>#DIV/0!</v>
      </c>
      <c r="H17" s="73" t="str">
        <f t="shared" ca="1" si="2"/>
        <v/>
      </c>
    </row>
    <row r="18" spans="1:8" x14ac:dyDescent="0.25">
      <c r="A18" s="73" t="str">
        <f>Text!C$64</f>
        <v>Seite 2</v>
      </c>
      <c r="B18" s="73" t="s">
        <v>101</v>
      </c>
      <c r="C18" s="73" t="str">
        <f>Text!C67</f>
        <v>voraussichtliche Vollinbetriebnahme</v>
      </c>
      <c r="D18" s="73" t="str">
        <f>IF(Projektformular!AA10="",A18&amp;"  "&amp;B18&amp;": "&amp;C18,"")</f>
        <v>Seite 2  A05: voraussichtliche Vollinbetriebnahme</v>
      </c>
      <c r="E18" s="73">
        <v>17</v>
      </c>
      <c r="F18" s="73">
        <f t="shared" si="1"/>
        <v>17</v>
      </c>
      <c r="G18" s="73" t="e">
        <f t="shared" si="0"/>
        <v>#DIV/0!</v>
      </c>
      <c r="H18" s="73" t="str">
        <f t="shared" ca="1" si="2"/>
        <v/>
      </c>
    </row>
    <row r="19" spans="1:8" x14ac:dyDescent="0.25">
      <c r="A19" s="73" t="str">
        <f>Text!C$64</f>
        <v>Seite 2</v>
      </c>
      <c r="B19" s="73" t="s">
        <v>101</v>
      </c>
      <c r="C19" s="73" t="str">
        <f>Text!C68</f>
        <v>Strasse</v>
      </c>
      <c r="D19" s="73" t="str">
        <f>IF(Projektformular!AA11="",A19&amp;"  "&amp;B19&amp;": "&amp;C19,"")</f>
        <v>Seite 2  A05: Strasse</v>
      </c>
      <c r="E19" s="73">
        <v>18</v>
      </c>
      <c r="F19" s="73">
        <f t="shared" si="1"/>
        <v>18</v>
      </c>
      <c r="G19" s="73" t="e">
        <f t="shared" si="0"/>
        <v>#DIV/0!</v>
      </c>
      <c r="H19" s="73" t="str">
        <f t="shared" ca="1" si="2"/>
        <v/>
      </c>
    </row>
    <row r="20" spans="1:8" x14ac:dyDescent="0.25">
      <c r="A20" s="73" t="str">
        <f>Text!C$64</f>
        <v>Seite 2</v>
      </c>
      <c r="B20" s="73" t="s">
        <v>101</v>
      </c>
      <c r="C20" s="73" t="str">
        <f>Text!C69</f>
        <v>PLZ, Ort</v>
      </c>
      <c r="D20" s="73" t="str">
        <f>IF(Projektformular!AA12="",A20&amp;"  "&amp;B20&amp;": "&amp;C20,"")</f>
        <v>Seite 2  A05: PLZ, Ort</v>
      </c>
      <c r="E20" s="73">
        <v>19</v>
      </c>
      <c r="F20" s="73">
        <f t="shared" si="1"/>
        <v>19</v>
      </c>
      <c r="G20" s="73" t="e">
        <f t="shared" si="0"/>
        <v>#DIV/0!</v>
      </c>
      <c r="H20" s="73" t="str">
        <f t="shared" ca="1" si="2"/>
        <v/>
      </c>
    </row>
    <row r="21" spans="1:8" x14ac:dyDescent="0.25">
      <c r="A21" s="73" t="str">
        <f>Text!C$64</f>
        <v>Seite 2</v>
      </c>
      <c r="B21" s="73" t="s">
        <v>101</v>
      </c>
      <c r="C21" s="73" t="str">
        <f>Text!C70</f>
        <v xml:space="preserve">Kanton </v>
      </c>
      <c r="D21" s="73" t="str">
        <f>IF(Projektformular!AA13="",A21&amp;"  "&amp;B21&amp;": "&amp;C21,"")</f>
        <v xml:space="preserve">Seite 2  A05: Kanton </v>
      </c>
      <c r="E21" s="73">
        <v>20</v>
      </c>
      <c r="F21" s="73">
        <f t="shared" si="1"/>
        <v>20</v>
      </c>
      <c r="G21" s="73" t="e">
        <f t="shared" si="0"/>
        <v>#DIV/0!</v>
      </c>
      <c r="H21" s="73" t="str">
        <f t="shared" ca="1" si="2"/>
        <v/>
      </c>
    </row>
    <row r="22" spans="1:8" x14ac:dyDescent="0.25">
      <c r="A22" s="73" t="str">
        <f>Text!C$64</f>
        <v>Seite 2</v>
      </c>
      <c r="B22" s="73" t="s">
        <v>101</v>
      </c>
      <c r="C22" s="73" t="str">
        <f>Text!C97</f>
        <v>Klimaregion</v>
      </c>
      <c r="D22" s="73" t="str">
        <f>IF(Projektformular!AA14="",A22&amp;"  "&amp;B22&amp;": "&amp;C22,"")</f>
        <v>Seite 2  A05: Klimaregion</v>
      </c>
      <c r="E22" s="73">
        <v>21</v>
      </c>
      <c r="F22" s="73">
        <f t="shared" si="1"/>
        <v>21</v>
      </c>
      <c r="G22" s="73" t="e">
        <f t="shared" si="0"/>
        <v>#DIV/0!</v>
      </c>
      <c r="H22" s="73" t="str">
        <f t="shared" ca="1" si="2"/>
        <v/>
      </c>
    </row>
    <row r="23" spans="1:8" x14ac:dyDescent="0.25">
      <c r="A23" s="73" t="str">
        <f>Text!C$64</f>
        <v>Seite 2</v>
      </c>
      <c r="B23" s="73" t="s">
        <v>101</v>
      </c>
      <c r="C23" s="73" t="str">
        <f>Text!C104</f>
        <v>Förderung durch:</v>
      </c>
      <c r="D23" s="73" t="str">
        <f>IF(Projektformular!AA16="",A23&amp;"  "&amp;B23&amp;": "&amp;C23,"")</f>
        <v>Seite 2  A05: Förderung durch:</v>
      </c>
      <c r="E23" s="73">
        <v>22</v>
      </c>
      <c r="F23" s="73">
        <f t="shared" si="1"/>
        <v>22</v>
      </c>
      <c r="G23" s="73" t="e">
        <f t="shared" si="0"/>
        <v>#DIV/0!</v>
      </c>
      <c r="H23" s="73" t="str">
        <f t="shared" ca="1" si="2"/>
        <v/>
      </c>
    </row>
    <row r="24" spans="1:8" x14ac:dyDescent="0.25">
      <c r="A24" s="73" t="str">
        <f>Text!C$64</f>
        <v>Seite 2</v>
      </c>
      <c r="B24" s="73" t="s">
        <v>103</v>
      </c>
      <c r="C24" s="73" t="str">
        <f>Text!C109</f>
        <v>Kesselanlage</v>
      </c>
      <c r="D24" s="73" t="str">
        <f>IF(Projektformular!AA21="",A24&amp;"  "&amp;B24&amp;": "&amp;C24,"")</f>
        <v>Seite 2  A06: Kesselanlage</v>
      </c>
      <c r="E24" s="73">
        <v>23</v>
      </c>
      <c r="F24" s="73">
        <f t="shared" si="1"/>
        <v>23</v>
      </c>
      <c r="G24" s="73" t="e">
        <f t="shared" si="0"/>
        <v>#DIV/0!</v>
      </c>
      <c r="H24" s="73" t="str">
        <f t="shared" ca="1" si="2"/>
        <v/>
      </c>
    </row>
    <row r="25" spans="1:8" x14ac:dyDescent="0.25">
      <c r="A25" s="73" t="str">
        <f>Text!C$64</f>
        <v>Seite 2</v>
      </c>
      <c r="B25" s="73" t="s">
        <v>104</v>
      </c>
      <c r="C25" s="73" t="str">
        <f>Text!C121</f>
        <v>Wärmenetz</v>
      </c>
      <c r="D25" s="73" t="str">
        <f>IF(Projektformular!AC33="",A25&amp;"  "&amp;B25&amp;": "&amp;C25,"")</f>
        <v>Seite 2  A07: Wärmenetz</v>
      </c>
      <c r="E25" s="73">
        <v>24</v>
      </c>
      <c r="F25" s="73">
        <f t="shared" si="1"/>
        <v>24</v>
      </c>
      <c r="G25" s="73" t="e">
        <f t="shared" si="0"/>
        <v>#DIV/0!</v>
      </c>
      <c r="H25" s="73" t="str">
        <f t="shared" ca="1" si="2"/>
        <v/>
      </c>
    </row>
    <row r="26" spans="1:8" x14ac:dyDescent="0.25">
      <c r="A26" s="73" t="str">
        <f>Text!C$64</f>
        <v>Seite 2</v>
      </c>
      <c r="B26" s="73" t="s">
        <v>104</v>
      </c>
      <c r="C26" s="73" t="str">
        <f>Text!C122</f>
        <v>Ganzjahresbetrieb</v>
      </c>
      <c r="D26" s="73" t="str">
        <f>IF(Projektformular!AC34="",A26&amp;"  "&amp;B26&amp;": "&amp;C26,"")</f>
        <v>Seite 2  A07: Ganzjahresbetrieb</v>
      </c>
      <c r="E26" s="73">
        <v>25</v>
      </c>
      <c r="F26" s="73">
        <f t="shared" si="1"/>
        <v>25</v>
      </c>
      <c r="G26" s="73" t="e">
        <f t="shared" si="0"/>
        <v>#DIV/0!</v>
      </c>
      <c r="H26" s="73" t="str">
        <f t="shared" ca="1" si="2"/>
        <v/>
      </c>
    </row>
    <row r="27" spans="1:8" x14ac:dyDescent="0.25">
      <c r="A27" s="73" t="str">
        <f>Text!C$64</f>
        <v>Seite 2</v>
      </c>
      <c r="B27" s="73" t="s">
        <v>104</v>
      </c>
      <c r="C27" s="73" t="str">
        <f>Text!C124</f>
        <v>Zusätzliche erneuerbare Energieträger oder Systeme</v>
      </c>
      <c r="D27" s="73" t="str">
        <f>IF(Projektformular!AC35="",A27&amp;"  "&amp;B27&amp;": "&amp;C27,"")</f>
        <v>Seite 2  A07: Zusätzliche erneuerbare Energieträger oder Systeme</v>
      </c>
      <c r="E27" s="73">
        <v>26</v>
      </c>
      <c r="F27" s="73">
        <f t="shared" si="1"/>
        <v>26</v>
      </c>
      <c r="G27" s="73" t="e">
        <f t="shared" si="0"/>
        <v>#DIV/0!</v>
      </c>
      <c r="H27" s="73" t="str">
        <f t="shared" ca="1" si="2"/>
        <v/>
      </c>
    </row>
    <row r="28" spans="1:8" x14ac:dyDescent="0.25">
      <c r="A28" s="73" t="str">
        <f>Text!C$64</f>
        <v>Seite 2</v>
      </c>
      <c r="B28" s="73" t="s">
        <v>104</v>
      </c>
      <c r="C28" s="73" t="str">
        <f>Text!C125</f>
        <v>Kesselkonfiguration</v>
      </c>
      <c r="D28" s="73" t="str">
        <f>IF(Projektformular!AC36="",A28&amp;"  "&amp;B28&amp;": "&amp;C28,"")</f>
        <v>Seite 2  A07: Kesselkonfiguration</v>
      </c>
      <c r="E28" s="73">
        <v>27</v>
      </c>
      <c r="F28" s="73">
        <f t="shared" si="1"/>
        <v>27</v>
      </c>
      <c r="G28" s="73" t="e">
        <f t="shared" si="0"/>
        <v>#DIV/0!</v>
      </c>
      <c r="H28" s="73" t="str">
        <f t="shared" ca="1" si="2"/>
        <v/>
      </c>
    </row>
    <row r="29" spans="1:8" x14ac:dyDescent="0.25">
      <c r="A29" s="73" t="str">
        <f>Text!C$64</f>
        <v>Seite 2</v>
      </c>
      <c r="B29" s="73" t="s">
        <v>104</v>
      </c>
      <c r="C29" s="73" t="str">
        <f>Text!C134</f>
        <v>Feinstaubabscheider</v>
      </c>
      <c r="D29" s="73" t="str">
        <f>IF(Projektformular!AC37="",A29&amp;"  "&amp;B29&amp;": "&amp;C29,"")</f>
        <v>Seite 2  A07: Feinstaubabscheider</v>
      </c>
      <c r="E29" s="73">
        <v>28</v>
      </c>
      <c r="F29" s="73">
        <f t="shared" si="1"/>
        <v>28</v>
      </c>
      <c r="G29" s="73" t="e">
        <f t="shared" si="0"/>
        <v>#DIV/0!</v>
      </c>
      <c r="H29" s="73" t="str">
        <f t="shared" ca="1" si="2"/>
        <v/>
      </c>
    </row>
    <row r="30" spans="1:8" x14ac:dyDescent="0.25">
      <c r="A30" s="73" t="str">
        <f>Text!C$64</f>
        <v>Seite 2</v>
      </c>
      <c r="B30" s="73" t="s">
        <v>104</v>
      </c>
      <c r="C30" s="73" t="str">
        <f>Text!C126</f>
        <v>Brennstoffauswahl</v>
      </c>
      <c r="D30" s="73" t="str">
        <f>IF(Projektformular!AC38="",A30&amp;"  "&amp;B30&amp;": "&amp;C30,"")</f>
        <v>Seite 2  A07: Brennstoffauswahl</v>
      </c>
      <c r="E30" s="73">
        <v>29</v>
      </c>
      <c r="F30" s="73">
        <f t="shared" si="1"/>
        <v>29</v>
      </c>
      <c r="G30" s="73" t="e">
        <f t="shared" si="0"/>
        <v>#DIV/0!</v>
      </c>
      <c r="H30" s="73" t="str">
        <f t="shared" ca="1" si="2"/>
        <v/>
      </c>
    </row>
    <row r="31" spans="1:8" x14ac:dyDescent="0.25">
      <c r="A31" s="73" t="str">
        <f>Text!C$64</f>
        <v>Seite 2</v>
      </c>
      <c r="B31" s="73" t="s">
        <v>104</v>
      </c>
      <c r="C31" s="73" t="str">
        <f>Text!C129</f>
        <v>Betriebsstunden</v>
      </c>
      <c r="D31" s="73" t="str">
        <f>IF(Projektformular!AI34="",A31&amp;"  "&amp;B31&amp;": "&amp;C31,"")</f>
        <v/>
      </c>
      <c r="E31" s="73">
        <v>30</v>
      </c>
      <c r="F31" s="73" t="str">
        <f t="shared" si="1"/>
        <v/>
      </c>
      <c r="G31" s="73" t="e">
        <f t="shared" si="0"/>
        <v>#DIV/0!</v>
      </c>
      <c r="H31" s="73" t="str">
        <f t="shared" ca="1" si="2"/>
        <v/>
      </c>
    </row>
    <row r="32" spans="1:8" x14ac:dyDescent="0.25">
      <c r="A32" s="73" t="str">
        <f>Text!C145</f>
        <v>Seite 3</v>
      </c>
      <c r="B32" s="73" t="s">
        <v>140</v>
      </c>
      <c r="C32" s="73" t="str">
        <f>Text!C184</f>
        <v>Reserve: Alle Angaben ausfüllen</v>
      </c>
      <c r="D32" s="73" t="str">
        <f>IF(OR(AND(ISBLANK(Projektformular!AV36)=TRUE,ISBLANK(Projektformular!AZ36)=TRUE,ISBLANK(Projektformular!BB36)=TRUE),AND(ISBLANK(Projektformular!AV36)=FALSE,ISBLANK(Projektformular!AZ36)=FALSE,ISBLANK(Projektformular!BB36)=FALSE)),"",A32&amp;"  "&amp;B32&amp;": "&amp;C32)</f>
        <v/>
      </c>
      <c r="E32" s="73">
        <v>31</v>
      </c>
      <c r="F32" s="73" t="str">
        <f t="shared" ref="F32" si="3">IF(D32="","",E32)</f>
        <v/>
      </c>
      <c r="G32" s="73" t="e">
        <f t="shared" si="0"/>
        <v>#DIV/0!</v>
      </c>
      <c r="H32" s="73" t="str">
        <f t="shared" ref="H32" ca="1" si="4">IF(ISERROR(G32)=TRUE,"",OFFSET($A$1,G32,3))</f>
        <v/>
      </c>
    </row>
    <row r="33" spans="1:8" x14ac:dyDescent="0.25">
      <c r="A33" s="73" t="str">
        <f>Text!C145</f>
        <v>Seite 3</v>
      </c>
      <c r="B33" s="73" t="s">
        <v>146</v>
      </c>
      <c r="C33" s="73" t="str">
        <f>Text!C186</f>
        <v>Begründung:</v>
      </c>
      <c r="D33" s="73" t="str">
        <f>IF(AND(Berechnungen!AV40&gt;0,Berechnungen!AX40=Dropdown!A20),A33&amp;"  "&amp;B33&amp;": "&amp;C33,"")</f>
        <v/>
      </c>
      <c r="E33" s="73">
        <v>32</v>
      </c>
      <c r="F33" s="73" t="str">
        <f t="shared" si="1"/>
        <v/>
      </c>
      <c r="G33" s="73" t="e">
        <f t="shared" si="0"/>
        <v>#DIV/0!</v>
      </c>
      <c r="H33" s="73" t="str">
        <f t="shared" ca="1" si="2"/>
        <v/>
      </c>
    </row>
    <row r="34" spans="1:8" x14ac:dyDescent="0.25">
      <c r="A34" s="73" t="str">
        <f>Text!C$187</f>
        <v>Seite 4</v>
      </c>
      <c r="B34" s="73" t="s">
        <v>196</v>
      </c>
      <c r="C34" s="73" t="str">
        <f>Text!C189</f>
        <v>Trassenlänge Netz</v>
      </c>
      <c r="D34" s="73" t="str">
        <f>IF(Projektformular!AC33=Dropdown!A20,"",IF(ISBLANK(Projektformular!BH12)=TRUE,A34&amp;"  "&amp;B34&amp;": "&amp;C34,""))</f>
        <v>Seite 4  A10: Trassenlänge Netz</v>
      </c>
      <c r="E34" s="73">
        <v>33</v>
      </c>
      <c r="F34" s="73">
        <f t="shared" si="1"/>
        <v>33</v>
      </c>
      <c r="G34" s="73" t="e">
        <f t="shared" ref="G34:G51" si="5">SMALL($F$2:$F$51,E34)</f>
        <v>#DIV/0!</v>
      </c>
      <c r="H34" s="73" t="str">
        <f t="shared" ca="1" si="2"/>
        <v/>
      </c>
    </row>
    <row r="35" spans="1:8" x14ac:dyDescent="0.25">
      <c r="A35" s="73" t="str">
        <f>Text!C$187</f>
        <v>Seite 4</v>
      </c>
      <c r="B35" s="73" t="s">
        <v>196</v>
      </c>
      <c r="C35" s="73" t="str">
        <f>Text!C196&amp;" "&amp;Text!C197</f>
        <v>Temperaturen Netz, °C VL</v>
      </c>
      <c r="D35" s="73" t="str">
        <f>IF(Projektformular!AC33=Dropdown!A20,"",IF(ISBLANK(Projektformular!BP12)=TRUE,A35&amp;"  "&amp;B35&amp;": "&amp;C35,""))</f>
        <v>Seite 4  A10: Temperaturen Netz, °C VL</v>
      </c>
      <c r="E35" s="73">
        <v>34</v>
      </c>
      <c r="F35" s="73">
        <f t="shared" si="1"/>
        <v>34</v>
      </c>
      <c r="G35" s="73" t="e">
        <f t="shared" si="5"/>
        <v>#DIV/0!</v>
      </c>
      <c r="H35" s="73" t="str">
        <f t="shared" ca="1" si="2"/>
        <v/>
      </c>
    </row>
    <row r="36" spans="1:8" x14ac:dyDescent="0.25">
      <c r="A36" s="73" t="str">
        <f>Text!C$187</f>
        <v>Seite 4</v>
      </c>
      <c r="B36" s="73" t="s">
        <v>196</v>
      </c>
      <c r="C36" s="73" t="str">
        <f>Text!C196&amp;" "&amp;Text!C198</f>
        <v>Temperaturen Netz, °C RL</v>
      </c>
      <c r="D36" s="73" t="str">
        <f>IF(Projektformular!AC33=Dropdown!A20,"",IF(ISBLANK(Projektformular!BQ12)=TRUE,A36&amp;"  "&amp;B36&amp;": "&amp;C36,""))</f>
        <v>Seite 4  A10: Temperaturen Netz, °C RL</v>
      </c>
      <c r="E36" s="73">
        <v>35</v>
      </c>
      <c r="F36" s="73">
        <f t="shared" si="1"/>
        <v>35</v>
      </c>
      <c r="G36" s="73" t="e">
        <f t="shared" si="5"/>
        <v>#DIV/0!</v>
      </c>
      <c r="H36" s="73" t="str">
        <f t="shared" ca="1" si="2"/>
        <v/>
      </c>
    </row>
    <row r="37" spans="1:8" x14ac:dyDescent="0.25">
      <c r="A37" s="73" t="str">
        <f>Text!C$187</f>
        <v>Seite 4</v>
      </c>
      <c r="B37" s="73" t="s">
        <v>196</v>
      </c>
      <c r="C37" s="73" t="str">
        <f>Text!C203</f>
        <v>Begründung:</v>
      </c>
      <c r="D37" s="73" t="str">
        <f>IF(ISTEXT(Projektformular!BJ14)=TRUE,"",IF(Projektformular!AC33="",A37&amp;"  "&amp;B37&amp;": "&amp;C37,IF(Projektformular!AC33=Dropdown!A20,"",IF(Projektformular!BI14=Text!C203,A37&amp;"  "&amp;B37&amp;": "&amp;C37,""))))</f>
        <v>Seite 4  A10: Begründung:</v>
      </c>
      <c r="E37" s="73">
        <v>36</v>
      </c>
      <c r="F37" s="73">
        <f t="shared" si="1"/>
        <v>36</v>
      </c>
      <c r="G37" s="73" t="e">
        <f t="shared" si="5"/>
        <v>#DIV/0!</v>
      </c>
      <c r="H37" s="73" t="str">
        <f t="shared" ca="1" si="2"/>
        <v/>
      </c>
    </row>
    <row r="38" spans="1:8" x14ac:dyDescent="0.25">
      <c r="A38" s="73" t="str">
        <f>Text!C$187</f>
        <v>Seite 4</v>
      </c>
      <c r="B38" s="73" t="s">
        <v>200</v>
      </c>
      <c r="C38" s="73" t="str">
        <f>Text!C208</f>
        <v>Nennleistung</v>
      </c>
      <c r="D38" s="73" t="str">
        <f>IF(Projektformular!BL21="",A38&amp;"  "&amp;B38&amp;": "&amp;C38,"")</f>
        <v>Seite 4  A11: Nennleistung</v>
      </c>
      <c r="E38" s="73">
        <v>37</v>
      </c>
      <c r="F38" s="73">
        <f t="shared" si="1"/>
        <v>37</v>
      </c>
      <c r="G38" s="73" t="e">
        <f t="shared" si="5"/>
        <v>#DIV/0!</v>
      </c>
      <c r="H38" s="73" t="str">
        <f t="shared" ca="1" si="2"/>
        <v/>
      </c>
    </row>
    <row r="39" spans="1:8" x14ac:dyDescent="0.25">
      <c r="A39" s="73" t="str">
        <f>Text!C$187</f>
        <v>Seite 4</v>
      </c>
      <c r="B39" s="73" t="s">
        <v>200</v>
      </c>
      <c r="C39" s="73" t="str">
        <f>Text!C209</f>
        <v>Minimalleistung</v>
      </c>
      <c r="D39" s="73" t="str">
        <f>IF(Projektformular!BV21="",A39&amp;"  "&amp;B39&amp;": "&amp;C39,"")</f>
        <v>Seite 4  A11: Minimalleistung</v>
      </c>
      <c r="E39" s="73">
        <v>38</v>
      </c>
      <c r="F39" s="73">
        <f t="shared" si="1"/>
        <v>38</v>
      </c>
      <c r="G39" s="73" t="e">
        <f t="shared" si="5"/>
        <v>#DIV/0!</v>
      </c>
      <c r="H39" s="73" t="str">
        <f t="shared" ca="1" si="2"/>
        <v/>
      </c>
    </row>
    <row r="40" spans="1:8" x14ac:dyDescent="0.25">
      <c r="A40" s="73" t="str">
        <f>Text!C$187</f>
        <v>Seite 4</v>
      </c>
      <c r="B40" s="73" t="s">
        <v>200</v>
      </c>
      <c r="C40" s="73" t="str">
        <f>Text!C212</f>
        <v>weitere Kessel - Summe der Nennleistungen</v>
      </c>
      <c r="D40" s="73" t="str">
        <f>IF(AND(Projektformular!BL22="",Projektformular!AC36=Dropdown!A41),A40&amp;"  "&amp;B40&amp;": "&amp;C40,"")</f>
        <v/>
      </c>
      <c r="E40" s="73">
        <v>39</v>
      </c>
      <c r="F40" s="73" t="str">
        <f t="shared" si="1"/>
        <v/>
      </c>
      <c r="G40" s="73" t="e">
        <f t="shared" si="5"/>
        <v>#DIV/0!</v>
      </c>
      <c r="H40" s="73" t="str">
        <f t="shared" ca="1" si="2"/>
        <v/>
      </c>
    </row>
    <row r="41" spans="1:8" x14ac:dyDescent="0.25">
      <c r="A41" s="73" t="str">
        <f>Text!C$187</f>
        <v>Seite 4</v>
      </c>
      <c r="B41" s="73" t="s">
        <v>200</v>
      </c>
      <c r="C41" s="73" t="str">
        <f>Text!C215</f>
        <v>Typenbezeichnung</v>
      </c>
      <c r="D41" s="73" t="str">
        <f>IF(AND(Projektformular!BL19=Dropdown!A19,Projektformular!BL25=""),A41&amp;"  "&amp;B41&amp;": "&amp;C41,"")</f>
        <v>Seite 4  A11: Typenbezeichnung</v>
      </c>
      <c r="E41" s="73">
        <v>40</v>
      </c>
      <c r="F41" s="73">
        <f t="shared" si="1"/>
        <v>40</v>
      </c>
      <c r="G41" s="73" t="e">
        <f t="shared" si="5"/>
        <v>#DIV/0!</v>
      </c>
      <c r="H41" s="73" t="str">
        <f t="shared" ca="1" si="2"/>
        <v/>
      </c>
    </row>
    <row r="42" spans="1:8" x14ac:dyDescent="0.25">
      <c r="A42" s="73" t="str">
        <f>Text!C$187</f>
        <v>Seite 4</v>
      </c>
      <c r="B42" s="73" t="s">
        <v>200</v>
      </c>
      <c r="C42" s="73" t="str">
        <f>Text!C216</f>
        <v>Hersteller / Lieferant</v>
      </c>
      <c r="D42" s="73" t="str">
        <f>IF(AND(Projektformular!BL19=Dropdown!A19,Projektformular!BL26=""),A42&amp;"  "&amp;B42&amp;": "&amp;C42,"")</f>
        <v>Seite 4  A11: Hersteller / Lieferant</v>
      </c>
      <c r="E42" s="73">
        <v>41</v>
      </c>
      <c r="F42" s="73">
        <f t="shared" si="1"/>
        <v>41</v>
      </c>
      <c r="G42" s="73" t="e">
        <f t="shared" si="5"/>
        <v>#DIV/0!</v>
      </c>
      <c r="H42" s="73" t="str">
        <f t="shared" ca="1" si="2"/>
        <v/>
      </c>
    </row>
    <row r="43" spans="1:8" x14ac:dyDescent="0.25">
      <c r="A43" s="73" t="str">
        <f>Text!C$187</f>
        <v>Seite 4</v>
      </c>
      <c r="B43" s="73" t="s">
        <v>200</v>
      </c>
      <c r="C43" s="73" t="str">
        <f>Text!C218</f>
        <v>Dimensionierung Kessel</v>
      </c>
      <c r="D43" s="73" t="e">
        <f>IF(ISTEXT(Projektformular!BQ28)=TRUE,"",IF(Projektformular!BP28=Text!C203,A43&amp;"  "&amp;B43&amp;": "&amp;C43,""))</f>
        <v>#DIV/0!</v>
      </c>
      <c r="E43" s="73">
        <v>42</v>
      </c>
      <c r="F43" s="73" t="e">
        <f t="shared" si="1"/>
        <v>#DIV/0!</v>
      </c>
      <c r="G43" s="73" t="e">
        <f t="shared" si="5"/>
        <v>#DIV/0!</v>
      </c>
      <c r="H43" s="73"/>
    </row>
    <row r="44" spans="1:8" x14ac:dyDescent="0.25">
      <c r="A44" s="73" t="str">
        <f>Text!C$187</f>
        <v>Seite 4</v>
      </c>
      <c r="B44" s="73" t="s">
        <v>202</v>
      </c>
      <c r="C44" s="73" t="str">
        <f>Text!C203</f>
        <v>Begründung:</v>
      </c>
      <c r="D44" s="73" t="e">
        <f>IF(ISTEXT(Projektformular!BP42)=TRUE,"",IF(Projektformular!BO42=Text!C203,A44&amp;"  "&amp;B44&amp;": "&amp;C44,""))</f>
        <v>#VALUE!</v>
      </c>
      <c r="E44" s="73">
        <v>43</v>
      </c>
      <c r="F44" s="73" t="e">
        <f t="shared" si="1"/>
        <v>#VALUE!</v>
      </c>
      <c r="G44" s="73" t="e">
        <f t="shared" si="5"/>
        <v>#DIV/0!</v>
      </c>
      <c r="H44" s="73" t="str">
        <f t="shared" ca="1" si="2"/>
        <v/>
      </c>
    </row>
    <row r="45" spans="1:8" x14ac:dyDescent="0.25">
      <c r="A45" s="73" t="str">
        <f>Text!C$187</f>
        <v>Seite 4</v>
      </c>
      <c r="B45" s="73" t="s">
        <v>202</v>
      </c>
      <c r="C45" s="73" t="str">
        <f>Text!C238</f>
        <v>Vorlauf-Temperatur</v>
      </c>
      <c r="D45" s="73" t="str">
        <f>IF(Projektformular!BL45="",A45&amp;"  "&amp;B45&amp;": "&amp;C45,"")</f>
        <v>Seite 4  A12: Vorlauf-Temperatur</v>
      </c>
      <c r="E45" s="73">
        <v>44</v>
      </c>
      <c r="F45" s="73">
        <f t="shared" si="1"/>
        <v>44</v>
      </c>
      <c r="G45" s="73" t="e">
        <f t="shared" si="5"/>
        <v>#DIV/0!</v>
      </c>
      <c r="H45" s="73" t="str">
        <f t="shared" ca="1" si="2"/>
        <v/>
      </c>
    </row>
    <row r="46" spans="1:8" x14ac:dyDescent="0.25">
      <c r="A46" s="73" t="str">
        <f>Text!C$187</f>
        <v>Seite 4</v>
      </c>
      <c r="B46" s="73" t="s">
        <v>202</v>
      </c>
      <c r="C46" s="73" t="str">
        <f>Text!C286</f>
        <v>Vorlauf-Temperatur Netz &gt; Kessel</v>
      </c>
      <c r="D46" s="73" t="str">
        <f>IF(Projektformular!BP12&gt;Projektformular!BL45,A46&amp;"  "&amp;B46&amp;": "&amp;C46,"")</f>
        <v/>
      </c>
      <c r="E46" s="73">
        <v>45</v>
      </c>
      <c r="F46" s="73" t="str">
        <f t="shared" si="1"/>
        <v/>
      </c>
      <c r="G46" s="73" t="e">
        <f t="shared" si="5"/>
        <v>#DIV/0!</v>
      </c>
      <c r="H46" s="73" t="str">
        <f t="shared" ca="1" si="2"/>
        <v/>
      </c>
    </row>
    <row r="47" spans="1:8" x14ac:dyDescent="0.25">
      <c r="A47" s="73" t="str">
        <f>Text!C$187</f>
        <v>Seite 4</v>
      </c>
      <c r="B47" s="73" t="s">
        <v>202</v>
      </c>
      <c r="C47" s="73" t="str">
        <f>Text!C239</f>
        <v>max. Rücklauf-Temperatur</v>
      </c>
      <c r="D47" s="73" t="str">
        <f>IF(Projektformular!BT45="",A47&amp;"  "&amp;B47&amp;": "&amp;C47,"")</f>
        <v>Seite 4  A12: max. Rücklauf-Temperatur</v>
      </c>
      <c r="E47" s="73">
        <v>46</v>
      </c>
      <c r="F47" s="73">
        <f t="shared" si="1"/>
        <v>46</v>
      </c>
      <c r="G47" s="73" t="e">
        <f t="shared" si="5"/>
        <v>#DIV/0!</v>
      </c>
      <c r="H47" s="73" t="str">
        <f t="shared" ca="1" si="2"/>
        <v/>
      </c>
    </row>
    <row r="48" spans="1:8" x14ac:dyDescent="0.25">
      <c r="A48" s="73" t="str">
        <f>Text!C$187</f>
        <v>Seite 4</v>
      </c>
      <c r="B48" s="73" t="s">
        <v>202</v>
      </c>
      <c r="C48" s="73" t="str">
        <f>Text!C245</f>
        <v>Geplantes Speichervolumen in Kubikmeter angeben</v>
      </c>
      <c r="D48" s="73" t="str">
        <f>IF(Projektformular!BL48&gt;99,A48&amp;"  "&amp;B48&amp;": "&amp;C48,"")</f>
        <v/>
      </c>
      <c r="E48" s="73">
        <v>47</v>
      </c>
      <c r="F48" s="73" t="str">
        <f t="shared" ref="F48" si="6">IF(D48="","",E48)</f>
        <v/>
      </c>
      <c r="G48" s="73" t="e">
        <f t="shared" si="5"/>
        <v>#DIV/0!</v>
      </c>
      <c r="H48" s="73" t="str">
        <f t="shared" ref="H48" ca="1" si="7">IF(ISERROR(G48)=TRUE,"",OFFSET($A$1,G48,3))</f>
        <v/>
      </c>
    </row>
    <row r="49" spans="1:8" x14ac:dyDescent="0.25">
      <c r="A49" s="73" t="str">
        <f>Text!C$187</f>
        <v>Seite 4</v>
      </c>
      <c r="B49" s="73" t="s">
        <v>202</v>
      </c>
      <c r="C49" s="73" t="str">
        <f>Text!C203</f>
        <v>Begründung:</v>
      </c>
      <c r="D49" s="73" t="str">
        <f>IF(ISTEXT(Projektformular!BP49)=TRUE,"",IF(Projektformular!BO49=Text!C203,A49&amp;"  "&amp;B49&amp;": "&amp;C49,""))</f>
        <v/>
      </c>
      <c r="E49" s="73">
        <v>48</v>
      </c>
      <c r="F49" s="73" t="str">
        <f t="shared" si="1"/>
        <v/>
      </c>
      <c r="G49" s="73" t="e">
        <f t="shared" si="5"/>
        <v>#DIV/0!</v>
      </c>
      <c r="H49" s="73" t="str">
        <f t="shared" ca="1" si="2"/>
        <v/>
      </c>
    </row>
    <row r="50" spans="1:8" x14ac:dyDescent="0.25">
      <c r="A50" s="73" t="str">
        <f>Text!C$187</f>
        <v>Seite 4</v>
      </c>
      <c r="B50" s="73" t="s">
        <v>202</v>
      </c>
      <c r="C50" s="73" t="str">
        <f>Text!C242</f>
        <v>Geplantes Speichervolumen</v>
      </c>
      <c r="D50" s="73" t="str">
        <f>IF(Projektformular!BL48="",A50&amp;"  "&amp;B50&amp;": "&amp;C50,"")</f>
        <v>Seite 4  A12: Geplantes Speichervolumen</v>
      </c>
      <c r="E50" s="73">
        <v>49</v>
      </c>
      <c r="F50" s="73">
        <f t="shared" si="1"/>
        <v>49</v>
      </c>
      <c r="G50" s="73" t="e">
        <f t="shared" si="5"/>
        <v>#DIV/0!</v>
      </c>
      <c r="H50" s="73" t="str">
        <f t="shared" ca="1" si="2"/>
        <v/>
      </c>
    </row>
    <row r="51" spans="1:8" x14ac:dyDescent="0.25">
      <c r="A51" s="73" t="str">
        <f>Text!C$187</f>
        <v>Seite 4</v>
      </c>
      <c r="B51" s="73" t="s">
        <v>202</v>
      </c>
      <c r="C51" s="73" t="str">
        <f>Text!C247</f>
        <v>Inhalt netto</v>
      </c>
      <c r="D51" s="73" t="str">
        <f>IF(Projektformular!BL53="",A51&amp;"  "&amp;B51&amp;": "&amp;C51,"")</f>
        <v>Seite 4  A12: Inhalt netto</v>
      </c>
      <c r="E51" s="73">
        <v>50</v>
      </c>
      <c r="F51" s="73">
        <f t="shared" si="1"/>
        <v>50</v>
      </c>
      <c r="G51" s="73" t="e">
        <f t="shared" si="5"/>
        <v>#DIV/0!</v>
      </c>
      <c r="H51" s="73" t="str">
        <f t="shared" ca="1" si="2"/>
        <v/>
      </c>
    </row>
    <row r="52" spans="1:8" x14ac:dyDescent="0.25">
      <c r="D52" s="17" t="str">
        <f>A52&amp;" "&amp;B52&amp;" "&amp;C52</f>
        <v xml:space="preserve">  </v>
      </c>
      <c r="F52" s="73">
        <f>COUNT(F2:F51)</f>
        <v>41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EB6B-3222-476D-A4F9-4271F553B3E4}">
  <sheetPr codeName="Tabelle4"/>
  <dimension ref="A1:AX95"/>
  <sheetViews>
    <sheetView zoomScaleNormal="100" workbookViewId="0">
      <selection activeCell="R46" sqref="R46"/>
    </sheetView>
  </sheetViews>
  <sheetFormatPr baseColWidth="10" defaultColWidth="10.640625" defaultRowHeight="10.3" x14ac:dyDescent="0.25"/>
  <cols>
    <col min="1" max="1" width="16.640625" style="17" customWidth="1"/>
    <col min="2" max="2" width="11.35546875" style="17" bestFit="1" customWidth="1"/>
    <col min="3" max="16" width="9.5703125" style="17" customWidth="1"/>
    <col min="17" max="17" width="29.35546875" style="17" bestFit="1" customWidth="1"/>
    <col min="18" max="18" width="11.35546875" style="17" bestFit="1" customWidth="1"/>
    <col min="19" max="20" width="9.5703125" style="17" customWidth="1"/>
    <col min="21" max="21" width="2.7109375" style="17" customWidth="1"/>
    <col min="22" max="22" width="13.640625" style="17" customWidth="1"/>
    <col min="23" max="23" width="7.35546875" style="17" bestFit="1" customWidth="1"/>
    <col min="24" max="47" width="10.5703125" style="17" customWidth="1"/>
    <col min="48" max="16384" width="10.640625" style="17"/>
  </cols>
  <sheetData>
    <row r="1" spans="1:47" ht="10.75" thickBot="1" x14ac:dyDescent="0.3"/>
    <row r="2" spans="1:47" x14ac:dyDescent="0.25">
      <c r="A2" s="17" t="s">
        <v>272</v>
      </c>
      <c r="C2" s="54" t="s">
        <v>119</v>
      </c>
      <c r="D2" s="55"/>
      <c r="E2" s="55"/>
      <c r="F2" s="55"/>
      <c r="G2" s="55"/>
      <c r="H2" s="56"/>
      <c r="I2" s="57" t="s">
        <v>214</v>
      </c>
      <c r="J2" s="58"/>
      <c r="K2" s="58"/>
      <c r="L2" s="58"/>
      <c r="M2" s="58"/>
      <c r="N2" s="59"/>
      <c r="O2" s="60" t="s">
        <v>215</v>
      </c>
      <c r="P2" s="61"/>
      <c r="Q2" s="61"/>
      <c r="R2" s="61"/>
      <c r="S2" s="61"/>
      <c r="T2" s="62"/>
      <c r="V2" s="17" t="s">
        <v>271</v>
      </c>
      <c r="X2" s="54" t="s">
        <v>119</v>
      </c>
      <c r="Y2" s="55"/>
      <c r="Z2" s="56"/>
      <c r="AA2" s="57" t="s">
        <v>214</v>
      </c>
      <c r="AB2" s="58"/>
      <c r="AC2" s="59"/>
      <c r="AD2" s="60" t="s">
        <v>215</v>
      </c>
      <c r="AE2" s="61"/>
      <c r="AF2" s="62"/>
    </row>
    <row r="3" spans="1:47" x14ac:dyDescent="0.25">
      <c r="A3" s="63"/>
      <c r="B3" s="63"/>
      <c r="C3" s="64" t="s">
        <v>219</v>
      </c>
      <c r="D3" s="65" t="s">
        <v>219</v>
      </c>
      <c r="E3" s="65" t="s">
        <v>219</v>
      </c>
      <c r="F3" s="65" t="s">
        <v>219</v>
      </c>
      <c r="G3" s="65" t="s">
        <v>219</v>
      </c>
      <c r="H3" s="66" t="s">
        <v>219</v>
      </c>
      <c r="I3" s="67" t="s">
        <v>220</v>
      </c>
      <c r="J3" s="68" t="s">
        <v>220</v>
      </c>
      <c r="K3" s="68" t="s">
        <v>220</v>
      </c>
      <c r="L3" s="68" t="s">
        <v>220</v>
      </c>
      <c r="M3" s="68" t="s">
        <v>220</v>
      </c>
      <c r="N3" s="69" t="s">
        <v>220</v>
      </c>
      <c r="O3" s="70" t="s">
        <v>221</v>
      </c>
      <c r="P3" s="71" t="s">
        <v>221</v>
      </c>
      <c r="Q3" s="71" t="s">
        <v>221</v>
      </c>
      <c r="R3" s="71" t="s">
        <v>221</v>
      </c>
      <c r="S3" s="71" t="s">
        <v>221</v>
      </c>
      <c r="T3" s="72" t="s">
        <v>221</v>
      </c>
      <c r="V3" s="63"/>
      <c r="W3" s="63"/>
      <c r="X3" s="64"/>
      <c r="Y3" s="65"/>
      <c r="Z3" s="66"/>
      <c r="AA3" s="67"/>
      <c r="AB3" s="68"/>
      <c r="AC3" s="69"/>
      <c r="AD3" s="70"/>
      <c r="AE3" s="71"/>
      <c r="AF3" s="72"/>
    </row>
    <row r="4" spans="1:47" x14ac:dyDescent="0.25">
      <c r="A4" s="73" t="s">
        <v>210</v>
      </c>
      <c r="B4" s="74" t="s">
        <v>175</v>
      </c>
      <c r="C4" s="75">
        <v>15</v>
      </c>
      <c r="D4" s="76">
        <v>15</v>
      </c>
      <c r="E4" s="77">
        <v>13</v>
      </c>
      <c r="F4" s="76">
        <v>13</v>
      </c>
      <c r="G4" s="77">
        <v>11</v>
      </c>
      <c r="H4" s="78">
        <v>11</v>
      </c>
      <c r="I4" s="79">
        <v>15</v>
      </c>
      <c r="J4" s="80">
        <v>15</v>
      </c>
      <c r="K4" s="81">
        <v>13</v>
      </c>
      <c r="L4" s="80">
        <v>13</v>
      </c>
      <c r="M4" s="81">
        <v>11</v>
      </c>
      <c r="N4" s="82">
        <v>11</v>
      </c>
      <c r="O4" s="83">
        <v>15</v>
      </c>
      <c r="P4" s="84">
        <v>15</v>
      </c>
      <c r="Q4" s="85">
        <v>13</v>
      </c>
      <c r="R4" s="84">
        <v>13</v>
      </c>
      <c r="S4" s="85">
        <v>11</v>
      </c>
      <c r="T4" s="86">
        <v>11</v>
      </c>
      <c r="V4" s="73" t="s">
        <v>210</v>
      </c>
      <c r="W4" s="74" t="s">
        <v>175</v>
      </c>
      <c r="X4" s="87" t="s">
        <v>241</v>
      </c>
      <c r="Y4" s="88" t="s">
        <v>242</v>
      </c>
      <c r="Z4" s="89" t="s">
        <v>243</v>
      </c>
      <c r="AA4" s="90" t="s">
        <v>244</v>
      </c>
      <c r="AB4" s="91" t="s">
        <v>245</v>
      </c>
      <c r="AC4" s="92" t="s">
        <v>246</v>
      </c>
      <c r="AD4" s="93" t="s">
        <v>247</v>
      </c>
      <c r="AE4" s="94" t="s">
        <v>248</v>
      </c>
      <c r="AF4" s="95" t="s">
        <v>249</v>
      </c>
    </row>
    <row r="5" spans="1:47" ht="10.75" thickBot="1" x14ac:dyDescent="0.3">
      <c r="A5" s="34" t="s">
        <v>224</v>
      </c>
      <c r="B5" s="96"/>
      <c r="C5" s="97" t="s">
        <v>222</v>
      </c>
      <c r="D5" s="98" t="s">
        <v>223</v>
      </c>
      <c r="E5" s="99" t="s">
        <v>222</v>
      </c>
      <c r="F5" s="98" t="s">
        <v>223</v>
      </c>
      <c r="G5" s="99" t="s">
        <v>222</v>
      </c>
      <c r="H5" s="100" t="s">
        <v>223</v>
      </c>
      <c r="I5" s="101" t="s">
        <v>222</v>
      </c>
      <c r="J5" s="102" t="s">
        <v>223</v>
      </c>
      <c r="K5" s="103" t="s">
        <v>222</v>
      </c>
      <c r="L5" s="102" t="s">
        <v>223</v>
      </c>
      <c r="M5" s="103" t="s">
        <v>222</v>
      </c>
      <c r="N5" s="104" t="s">
        <v>223</v>
      </c>
      <c r="O5" s="105" t="s">
        <v>222</v>
      </c>
      <c r="P5" s="106" t="s">
        <v>223</v>
      </c>
      <c r="Q5" s="107" t="s">
        <v>222</v>
      </c>
      <c r="R5" s="106" t="s">
        <v>223</v>
      </c>
      <c r="S5" s="107" t="s">
        <v>222</v>
      </c>
      <c r="T5" s="108" t="s">
        <v>223</v>
      </c>
      <c r="V5" s="34"/>
      <c r="W5" s="96"/>
      <c r="X5" s="97"/>
      <c r="Y5" s="99"/>
      <c r="Z5" s="109"/>
      <c r="AA5" s="101"/>
      <c r="AB5" s="103"/>
      <c r="AC5" s="110"/>
      <c r="AD5" s="105"/>
      <c r="AE5" s="107"/>
      <c r="AF5" s="111"/>
    </row>
    <row r="6" spans="1:47" ht="10.75" thickBot="1" x14ac:dyDescent="0.3">
      <c r="A6" s="112" t="s">
        <v>79</v>
      </c>
      <c r="B6" s="113" t="s">
        <v>211</v>
      </c>
      <c r="C6" s="114">
        <v>2000</v>
      </c>
      <c r="D6" s="115">
        <v>2500</v>
      </c>
      <c r="E6" s="116">
        <v>1600</v>
      </c>
      <c r="F6" s="115">
        <v>2000</v>
      </c>
      <c r="G6" s="116">
        <v>1300</v>
      </c>
      <c r="H6" s="117">
        <v>1700</v>
      </c>
      <c r="I6" s="118">
        <v>1800</v>
      </c>
      <c r="J6" s="119">
        <v>2200</v>
      </c>
      <c r="K6" s="120">
        <v>1200</v>
      </c>
      <c r="L6" s="119">
        <v>1800</v>
      </c>
      <c r="M6" s="120">
        <v>900</v>
      </c>
      <c r="N6" s="121">
        <v>1300</v>
      </c>
      <c r="O6" s="122">
        <v>1400</v>
      </c>
      <c r="P6" s="123">
        <v>1800</v>
      </c>
      <c r="Q6" s="124">
        <v>1000</v>
      </c>
      <c r="R6" s="123">
        <v>1400</v>
      </c>
      <c r="S6" s="124">
        <v>800</v>
      </c>
      <c r="T6" s="125">
        <v>1100</v>
      </c>
      <c r="V6" s="112" t="s">
        <v>232</v>
      </c>
      <c r="W6" s="113" t="s">
        <v>211</v>
      </c>
      <c r="X6" s="126" t="str">
        <f>TEXT(C6,"#")&amp;" - "&amp;TEXT(D6,"#")</f>
        <v>2000 - 2500</v>
      </c>
      <c r="Y6" s="126" t="str">
        <f>TEXT(E6,"#")&amp;" - "&amp;TEXT(F6,"#")</f>
        <v>1600 - 2000</v>
      </c>
      <c r="Z6" s="127" t="str">
        <f>TEXT(G6,"#")&amp;" - "&amp;TEXT(H6,"#")</f>
        <v>1300 - 1700</v>
      </c>
      <c r="AA6" s="128" t="str">
        <f>TEXT(I6,"#")&amp;" - "&amp;TEXT(J6,"#")</f>
        <v>1800 - 2200</v>
      </c>
      <c r="AB6" s="128" t="str">
        <f>TEXT(K6,"#")&amp;" - "&amp;TEXT(L6,"#")</f>
        <v>1200 - 1800</v>
      </c>
      <c r="AC6" s="129" t="str">
        <f>TEXT(M6,"#")&amp;" - "&amp;TEXT(N6,"#")</f>
        <v>900 - 1300</v>
      </c>
      <c r="AD6" s="130" t="str">
        <f>TEXT(O6,"#")&amp;" - "&amp;TEXT(P6,"#")</f>
        <v>1400 - 1800</v>
      </c>
      <c r="AE6" s="130" t="str">
        <f>TEXT(Q6,"#")&amp;" - "&amp;TEXT(R6,"#")</f>
        <v>1000 - 1400</v>
      </c>
      <c r="AF6" s="131" t="str">
        <f>TEXT(S6,"#")&amp;" - "&amp;TEXT(T6,"#")</f>
        <v>800 - 1100</v>
      </c>
    </row>
    <row r="7" spans="1:47" ht="10.75" thickBot="1" x14ac:dyDescent="0.3">
      <c r="A7" s="132" t="s">
        <v>218</v>
      </c>
      <c r="B7" s="133" t="s">
        <v>212</v>
      </c>
      <c r="C7" s="134">
        <v>80</v>
      </c>
      <c r="D7" s="135">
        <v>120</v>
      </c>
      <c r="E7" s="136">
        <v>50</v>
      </c>
      <c r="F7" s="135">
        <v>80</v>
      </c>
      <c r="G7" s="136">
        <v>40</v>
      </c>
      <c r="H7" s="137">
        <v>60</v>
      </c>
      <c r="I7" s="138">
        <v>60</v>
      </c>
      <c r="J7" s="139">
        <v>100</v>
      </c>
      <c r="K7" s="140">
        <v>30</v>
      </c>
      <c r="L7" s="139">
        <v>60</v>
      </c>
      <c r="M7" s="140">
        <v>20</v>
      </c>
      <c r="N7" s="141">
        <v>40</v>
      </c>
      <c r="O7" s="142">
        <v>60</v>
      </c>
      <c r="P7" s="143">
        <v>100</v>
      </c>
      <c r="Q7" s="144">
        <v>30</v>
      </c>
      <c r="R7" s="143">
        <v>60</v>
      </c>
      <c r="S7" s="144">
        <v>20</v>
      </c>
      <c r="T7" s="145">
        <v>40</v>
      </c>
      <c r="V7" s="132" t="s">
        <v>233</v>
      </c>
      <c r="W7" s="133" t="s">
        <v>212</v>
      </c>
      <c r="X7" s="126" t="str">
        <f t="shared" ref="X7:X14" si="0">TEXT(C7,"#")&amp;" - "&amp;TEXT(D7,"#")</f>
        <v>80 - 120</v>
      </c>
      <c r="Y7" s="126" t="str">
        <f t="shared" ref="Y7:Y14" si="1">TEXT(E7,"#")&amp;" - "&amp;TEXT(F7,"#")</f>
        <v>50 - 80</v>
      </c>
      <c r="Z7" s="127" t="str">
        <f t="shared" ref="Z7:Z14" si="2">TEXT(G7,"#")&amp;" - "&amp;TEXT(H7,"#")</f>
        <v>40 - 60</v>
      </c>
      <c r="AA7" s="128" t="str">
        <f t="shared" ref="AA7:AA14" si="3">TEXT(I7,"#")&amp;" - "&amp;TEXT(J7,"#")</f>
        <v>60 - 100</v>
      </c>
      <c r="AB7" s="128" t="str">
        <f t="shared" ref="AB7:AB14" si="4">TEXT(K7,"#")&amp;" - "&amp;TEXT(L7,"#")</f>
        <v>30 - 60</v>
      </c>
      <c r="AC7" s="129" t="str">
        <f t="shared" ref="AC7:AC14" si="5">TEXT(M7,"#")&amp;" - "&amp;TEXT(N7,"#")</f>
        <v>20 - 40</v>
      </c>
      <c r="AD7" s="130" t="str">
        <f t="shared" ref="AD7:AD14" si="6">TEXT(O7,"#")&amp;" - "&amp;TEXT(P7,"#")</f>
        <v>60 - 100</v>
      </c>
      <c r="AE7" s="130" t="str">
        <f t="shared" ref="AE7:AE14" si="7">TEXT(Q7,"#")&amp;" - "&amp;TEXT(R7,"#")</f>
        <v>30 - 60</v>
      </c>
      <c r="AF7" s="131" t="str">
        <f t="shared" ref="AF7:AF14" si="8">TEXT(S7,"#")&amp;" - "&amp;TEXT(T7,"#")</f>
        <v>20 - 40</v>
      </c>
    </row>
    <row r="8" spans="1:47" ht="10.75" thickBot="1" x14ac:dyDescent="0.3">
      <c r="A8" s="146" t="s">
        <v>207</v>
      </c>
      <c r="B8" s="147" t="s">
        <v>213</v>
      </c>
      <c r="C8" s="148">
        <v>35</v>
      </c>
      <c r="D8" s="149">
        <v>55</v>
      </c>
      <c r="E8" s="150">
        <v>30</v>
      </c>
      <c r="F8" s="149">
        <v>45</v>
      </c>
      <c r="G8" s="150">
        <v>25</v>
      </c>
      <c r="H8" s="151">
        <v>40</v>
      </c>
      <c r="I8" s="152">
        <v>30</v>
      </c>
      <c r="J8" s="153">
        <v>50</v>
      </c>
      <c r="K8" s="154">
        <v>20</v>
      </c>
      <c r="L8" s="153">
        <v>40</v>
      </c>
      <c r="M8" s="154">
        <v>20</v>
      </c>
      <c r="N8" s="155">
        <v>35</v>
      </c>
      <c r="O8" s="156">
        <v>35</v>
      </c>
      <c r="P8" s="157">
        <v>60</v>
      </c>
      <c r="Q8" s="158">
        <v>25</v>
      </c>
      <c r="R8" s="157">
        <v>50</v>
      </c>
      <c r="S8" s="158">
        <v>25</v>
      </c>
      <c r="T8" s="159">
        <v>40</v>
      </c>
      <c r="V8" s="146" t="s">
        <v>234</v>
      </c>
      <c r="W8" s="147" t="s">
        <v>213</v>
      </c>
      <c r="X8" s="126" t="str">
        <f t="shared" si="0"/>
        <v>35 - 55</v>
      </c>
      <c r="Y8" s="126" t="str">
        <f t="shared" si="1"/>
        <v>30 - 45</v>
      </c>
      <c r="Z8" s="127" t="str">
        <f t="shared" si="2"/>
        <v>25 - 40</v>
      </c>
      <c r="AA8" s="128" t="str">
        <f t="shared" si="3"/>
        <v>30 - 50</v>
      </c>
      <c r="AB8" s="128" t="str">
        <f t="shared" si="4"/>
        <v>20 - 40</v>
      </c>
      <c r="AC8" s="129" t="str">
        <f t="shared" si="5"/>
        <v>20 - 35</v>
      </c>
      <c r="AD8" s="130" t="str">
        <f t="shared" si="6"/>
        <v>35 - 60</v>
      </c>
      <c r="AE8" s="130" t="str">
        <f t="shared" si="7"/>
        <v>25 - 50</v>
      </c>
      <c r="AF8" s="131" t="str">
        <f t="shared" si="8"/>
        <v>25 - 40</v>
      </c>
    </row>
    <row r="9" spans="1:47" ht="10.75" thickBot="1" x14ac:dyDescent="0.3">
      <c r="A9" s="112" t="s">
        <v>80</v>
      </c>
      <c r="B9" s="113" t="s">
        <v>211</v>
      </c>
      <c r="C9" s="114">
        <v>2300</v>
      </c>
      <c r="D9" s="115">
        <v>2800</v>
      </c>
      <c r="E9" s="116">
        <v>1900</v>
      </c>
      <c r="F9" s="115">
        <v>2300</v>
      </c>
      <c r="G9" s="116">
        <v>1600</v>
      </c>
      <c r="H9" s="117">
        <v>2000</v>
      </c>
      <c r="I9" s="118">
        <v>2100</v>
      </c>
      <c r="J9" s="119">
        <v>2600</v>
      </c>
      <c r="K9" s="120">
        <v>1500</v>
      </c>
      <c r="L9" s="119">
        <v>2100</v>
      </c>
      <c r="M9" s="120">
        <v>1200</v>
      </c>
      <c r="N9" s="121">
        <v>1600</v>
      </c>
      <c r="O9" s="122">
        <v>1700</v>
      </c>
      <c r="P9" s="123">
        <v>2200</v>
      </c>
      <c r="Q9" s="124">
        <v>1300</v>
      </c>
      <c r="R9" s="123">
        <v>1700</v>
      </c>
      <c r="S9" s="124">
        <v>1000</v>
      </c>
      <c r="T9" s="125">
        <v>1400</v>
      </c>
      <c r="V9" s="112" t="s">
        <v>235</v>
      </c>
      <c r="W9" s="113" t="s">
        <v>211</v>
      </c>
      <c r="X9" s="126" t="str">
        <f t="shared" si="0"/>
        <v>2300 - 2800</v>
      </c>
      <c r="Y9" s="126" t="str">
        <f t="shared" si="1"/>
        <v>1900 - 2300</v>
      </c>
      <c r="Z9" s="127" t="str">
        <f t="shared" si="2"/>
        <v>1600 - 2000</v>
      </c>
      <c r="AA9" s="128" t="str">
        <f t="shared" si="3"/>
        <v>2100 - 2600</v>
      </c>
      <c r="AB9" s="128" t="str">
        <f t="shared" si="4"/>
        <v>1500 - 2100</v>
      </c>
      <c r="AC9" s="129" t="str">
        <f t="shared" si="5"/>
        <v>1200 - 1600</v>
      </c>
      <c r="AD9" s="130" t="str">
        <f t="shared" si="6"/>
        <v>1700 - 2200</v>
      </c>
      <c r="AE9" s="130" t="str">
        <f t="shared" si="7"/>
        <v>1300 - 1700</v>
      </c>
      <c r="AF9" s="131" t="str">
        <f t="shared" si="8"/>
        <v>1000 - 1400</v>
      </c>
    </row>
    <row r="10" spans="1:47" ht="10.75" thickBot="1" x14ac:dyDescent="0.3">
      <c r="A10" s="132" t="s">
        <v>217</v>
      </c>
      <c r="B10" s="133" t="s">
        <v>212</v>
      </c>
      <c r="C10" s="134">
        <v>95</v>
      </c>
      <c r="D10" s="135">
        <v>140</v>
      </c>
      <c r="E10" s="136">
        <v>55</v>
      </c>
      <c r="F10" s="135">
        <v>95</v>
      </c>
      <c r="G10" s="136">
        <v>45</v>
      </c>
      <c r="H10" s="137">
        <v>65</v>
      </c>
      <c r="I10" s="138">
        <v>75</v>
      </c>
      <c r="J10" s="139">
        <v>120</v>
      </c>
      <c r="K10" s="140">
        <v>35</v>
      </c>
      <c r="L10" s="139">
        <v>75</v>
      </c>
      <c r="M10" s="140">
        <v>25</v>
      </c>
      <c r="N10" s="141">
        <v>45</v>
      </c>
      <c r="O10" s="142">
        <v>75</v>
      </c>
      <c r="P10" s="143">
        <v>120</v>
      </c>
      <c r="Q10" s="144">
        <v>35</v>
      </c>
      <c r="R10" s="143">
        <v>75</v>
      </c>
      <c r="S10" s="144">
        <v>25</v>
      </c>
      <c r="T10" s="145">
        <v>45</v>
      </c>
      <c r="V10" s="132" t="s">
        <v>236</v>
      </c>
      <c r="W10" s="133" t="s">
        <v>212</v>
      </c>
      <c r="X10" s="126" t="str">
        <f t="shared" si="0"/>
        <v>95 - 140</v>
      </c>
      <c r="Y10" s="126" t="str">
        <f t="shared" si="1"/>
        <v>55 - 95</v>
      </c>
      <c r="Z10" s="127" t="str">
        <f t="shared" si="2"/>
        <v>45 - 65</v>
      </c>
      <c r="AA10" s="128" t="str">
        <f t="shared" si="3"/>
        <v>75 - 120</v>
      </c>
      <c r="AB10" s="128" t="str">
        <f t="shared" si="4"/>
        <v>35 - 75</v>
      </c>
      <c r="AC10" s="129" t="str">
        <f t="shared" si="5"/>
        <v>25 - 45</v>
      </c>
      <c r="AD10" s="130" t="str">
        <f t="shared" si="6"/>
        <v>75 - 120</v>
      </c>
      <c r="AE10" s="130" t="str">
        <f t="shared" si="7"/>
        <v>35 - 75</v>
      </c>
      <c r="AF10" s="131" t="str">
        <f t="shared" si="8"/>
        <v>25 - 45</v>
      </c>
    </row>
    <row r="11" spans="1:47" ht="10.75" thickBot="1" x14ac:dyDescent="0.3">
      <c r="A11" s="146" t="s">
        <v>208</v>
      </c>
      <c r="B11" s="147" t="s">
        <v>213</v>
      </c>
      <c r="C11" s="148">
        <v>35</v>
      </c>
      <c r="D11" s="149">
        <v>55</v>
      </c>
      <c r="E11" s="150">
        <v>30</v>
      </c>
      <c r="F11" s="149">
        <v>45</v>
      </c>
      <c r="G11" s="150">
        <v>25</v>
      </c>
      <c r="H11" s="151">
        <v>40</v>
      </c>
      <c r="I11" s="152">
        <v>30</v>
      </c>
      <c r="J11" s="153">
        <v>50</v>
      </c>
      <c r="K11" s="154">
        <v>20</v>
      </c>
      <c r="L11" s="153">
        <v>40</v>
      </c>
      <c r="M11" s="154">
        <v>20</v>
      </c>
      <c r="N11" s="155">
        <v>35</v>
      </c>
      <c r="O11" s="156">
        <v>35</v>
      </c>
      <c r="P11" s="157">
        <v>60</v>
      </c>
      <c r="Q11" s="158">
        <v>25</v>
      </c>
      <c r="R11" s="157">
        <v>50</v>
      </c>
      <c r="S11" s="158">
        <v>25</v>
      </c>
      <c r="T11" s="159">
        <v>40</v>
      </c>
      <c r="V11" s="146" t="s">
        <v>237</v>
      </c>
      <c r="W11" s="147" t="s">
        <v>213</v>
      </c>
      <c r="X11" s="126" t="str">
        <f t="shared" si="0"/>
        <v>35 - 55</v>
      </c>
      <c r="Y11" s="126" t="str">
        <f t="shared" si="1"/>
        <v>30 - 45</v>
      </c>
      <c r="Z11" s="127" t="str">
        <f t="shared" si="2"/>
        <v>25 - 40</v>
      </c>
      <c r="AA11" s="128" t="str">
        <f t="shared" si="3"/>
        <v>30 - 50</v>
      </c>
      <c r="AB11" s="128" t="str">
        <f t="shared" si="4"/>
        <v>20 - 40</v>
      </c>
      <c r="AC11" s="129" t="str">
        <f t="shared" si="5"/>
        <v>20 - 35</v>
      </c>
      <c r="AD11" s="130" t="str">
        <f t="shared" si="6"/>
        <v>35 - 60</v>
      </c>
      <c r="AE11" s="130" t="str">
        <f t="shared" si="7"/>
        <v>25 - 50</v>
      </c>
      <c r="AF11" s="131" t="str">
        <f t="shared" si="8"/>
        <v>25 - 40</v>
      </c>
    </row>
    <row r="12" spans="1:47" ht="10.75" thickBot="1" x14ac:dyDescent="0.3">
      <c r="A12" s="112" t="s">
        <v>81</v>
      </c>
      <c r="B12" s="113" t="s">
        <v>211</v>
      </c>
      <c r="C12" s="114">
        <v>1700</v>
      </c>
      <c r="D12" s="115">
        <v>2200</v>
      </c>
      <c r="E12" s="116">
        <v>1400</v>
      </c>
      <c r="F12" s="115">
        <v>1700</v>
      </c>
      <c r="G12" s="116">
        <v>1400</v>
      </c>
      <c r="H12" s="117">
        <v>1800</v>
      </c>
      <c r="I12" s="118">
        <v>1400</v>
      </c>
      <c r="J12" s="119">
        <v>1900</v>
      </c>
      <c r="K12" s="120">
        <v>1100</v>
      </c>
      <c r="L12" s="119">
        <v>1400</v>
      </c>
      <c r="M12" s="120">
        <v>900</v>
      </c>
      <c r="N12" s="121">
        <v>1200</v>
      </c>
      <c r="O12" s="122">
        <v>1300</v>
      </c>
      <c r="P12" s="123">
        <v>1600</v>
      </c>
      <c r="Q12" s="124">
        <v>1000</v>
      </c>
      <c r="R12" s="123">
        <v>1300</v>
      </c>
      <c r="S12" s="124">
        <v>800</v>
      </c>
      <c r="T12" s="125">
        <v>1100</v>
      </c>
      <c r="V12" s="112" t="s">
        <v>238</v>
      </c>
      <c r="W12" s="113" t="s">
        <v>211</v>
      </c>
      <c r="X12" s="126" t="str">
        <f t="shared" si="0"/>
        <v>1700 - 2200</v>
      </c>
      <c r="Y12" s="126" t="str">
        <f t="shared" si="1"/>
        <v>1400 - 1700</v>
      </c>
      <c r="Z12" s="127" t="str">
        <f t="shared" si="2"/>
        <v>1400 - 1800</v>
      </c>
      <c r="AA12" s="128" t="str">
        <f t="shared" si="3"/>
        <v>1400 - 1900</v>
      </c>
      <c r="AB12" s="128" t="str">
        <f t="shared" si="4"/>
        <v>1100 - 1400</v>
      </c>
      <c r="AC12" s="129" t="str">
        <f t="shared" si="5"/>
        <v>900 - 1200</v>
      </c>
      <c r="AD12" s="130" t="str">
        <f t="shared" si="6"/>
        <v>1300 - 1600</v>
      </c>
      <c r="AE12" s="130" t="str">
        <f t="shared" si="7"/>
        <v>1000 - 1300</v>
      </c>
      <c r="AF12" s="131" t="str">
        <f t="shared" si="8"/>
        <v>800 - 1100</v>
      </c>
    </row>
    <row r="13" spans="1:47" ht="10.75" thickBot="1" x14ac:dyDescent="0.3">
      <c r="A13" s="132" t="s">
        <v>216</v>
      </c>
      <c r="B13" s="133" t="s">
        <v>212</v>
      </c>
      <c r="C13" s="134">
        <v>70</v>
      </c>
      <c r="D13" s="135">
        <v>105</v>
      </c>
      <c r="E13" s="136">
        <v>45</v>
      </c>
      <c r="F13" s="135">
        <v>70</v>
      </c>
      <c r="G13" s="136">
        <v>40</v>
      </c>
      <c r="H13" s="137">
        <v>55</v>
      </c>
      <c r="I13" s="138">
        <v>50</v>
      </c>
      <c r="J13" s="139">
        <v>85</v>
      </c>
      <c r="K13" s="140">
        <v>25</v>
      </c>
      <c r="L13" s="139">
        <v>50</v>
      </c>
      <c r="M13" s="140">
        <v>20</v>
      </c>
      <c r="N13" s="141">
        <v>35</v>
      </c>
      <c r="O13" s="142">
        <v>50</v>
      </c>
      <c r="P13" s="143">
        <v>85</v>
      </c>
      <c r="Q13" s="144">
        <v>25</v>
      </c>
      <c r="R13" s="143">
        <v>50</v>
      </c>
      <c r="S13" s="144">
        <v>20</v>
      </c>
      <c r="T13" s="145">
        <v>35</v>
      </c>
      <c r="V13" s="132" t="s">
        <v>239</v>
      </c>
      <c r="W13" s="133" t="s">
        <v>212</v>
      </c>
      <c r="X13" s="126" t="str">
        <f t="shared" si="0"/>
        <v>70 - 105</v>
      </c>
      <c r="Y13" s="126" t="str">
        <f t="shared" si="1"/>
        <v>45 - 70</v>
      </c>
      <c r="Z13" s="127" t="str">
        <f t="shared" si="2"/>
        <v>40 - 55</v>
      </c>
      <c r="AA13" s="128" t="str">
        <f t="shared" si="3"/>
        <v>50 - 85</v>
      </c>
      <c r="AB13" s="128" t="str">
        <f t="shared" si="4"/>
        <v>25 - 50</v>
      </c>
      <c r="AC13" s="129" t="str">
        <f t="shared" si="5"/>
        <v>20 - 35</v>
      </c>
      <c r="AD13" s="130" t="str">
        <f t="shared" si="6"/>
        <v>50 - 85</v>
      </c>
      <c r="AE13" s="130" t="str">
        <f t="shared" si="7"/>
        <v>25 - 50</v>
      </c>
      <c r="AF13" s="131" t="str">
        <f t="shared" si="8"/>
        <v>20 - 35</v>
      </c>
    </row>
    <row r="14" spans="1:47" ht="10.75" thickBot="1" x14ac:dyDescent="0.3">
      <c r="A14" s="146" t="s">
        <v>209</v>
      </c>
      <c r="B14" s="147" t="s">
        <v>213</v>
      </c>
      <c r="C14" s="148">
        <v>35</v>
      </c>
      <c r="D14" s="149">
        <v>55</v>
      </c>
      <c r="E14" s="150">
        <v>30</v>
      </c>
      <c r="F14" s="149">
        <v>45</v>
      </c>
      <c r="G14" s="150">
        <v>25</v>
      </c>
      <c r="H14" s="151">
        <v>40</v>
      </c>
      <c r="I14" s="152">
        <v>30</v>
      </c>
      <c r="J14" s="153">
        <v>50</v>
      </c>
      <c r="K14" s="154">
        <v>20</v>
      </c>
      <c r="L14" s="153">
        <v>40</v>
      </c>
      <c r="M14" s="154">
        <v>20</v>
      </c>
      <c r="N14" s="155">
        <v>35</v>
      </c>
      <c r="O14" s="156">
        <v>35</v>
      </c>
      <c r="P14" s="157">
        <v>60</v>
      </c>
      <c r="Q14" s="158">
        <v>25</v>
      </c>
      <c r="R14" s="157">
        <v>50</v>
      </c>
      <c r="S14" s="158">
        <v>25</v>
      </c>
      <c r="T14" s="159">
        <v>40</v>
      </c>
      <c r="V14" s="146" t="s">
        <v>240</v>
      </c>
      <c r="W14" s="147" t="s">
        <v>213</v>
      </c>
      <c r="X14" s="160" t="str">
        <f t="shared" si="0"/>
        <v>35 - 55</v>
      </c>
      <c r="Y14" s="160" t="str">
        <f t="shared" si="1"/>
        <v>30 - 45</v>
      </c>
      <c r="Z14" s="161" t="str">
        <f t="shared" si="2"/>
        <v>25 - 40</v>
      </c>
      <c r="AA14" s="162" t="str">
        <f t="shared" si="3"/>
        <v>30 - 50</v>
      </c>
      <c r="AB14" s="162" t="str">
        <f t="shared" si="4"/>
        <v>20 - 40</v>
      </c>
      <c r="AC14" s="163" t="str">
        <f t="shared" si="5"/>
        <v>20 - 35</v>
      </c>
      <c r="AD14" s="164" t="str">
        <f t="shared" si="6"/>
        <v>35 - 60</v>
      </c>
      <c r="AE14" s="164" t="str">
        <f t="shared" si="7"/>
        <v>25 - 50</v>
      </c>
      <c r="AF14" s="165" t="str">
        <f t="shared" si="8"/>
        <v>25 - 40</v>
      </c>
    </row>
    <row r="16" spans="1:47" x14ac:dyDescent="0.25">
      <c r="W16" s="18" t="str">
        <f>IF(Projektformular!AA14=Dropdown!A29,Text!D98,IF(Projektformular!AA14=Dropdown!A30,Text!D99,Text!D100))</f>
        <v>Südschweiz</v>
      </c>
      <c r="AL16" s="46" t="s">
        <v>139</v>
      </c>
      <c r="AM16" s="38"/>
      <c r="AN16" s="38"/>
      <c r="AO16" s="36"/>
      <c r="AP16" s="36"/>
      <c r="AQ16" s="36"/>
      <c r="AR16" s="36"/>
      <c r="AS16" s="36"/>
      <c r="AT16" s="36"/>
      <c r="AU16" s="51"/>
    </row>
    <row r="17" spans="1:50" ht="12" x14ac:dyDescent="0.25">
      <c r="AD17" s="34" t="s">
        <v>251</v>
      </c>
      <c r="AE17" s="34" t="s">
        <v>267</v>
      </c>
      <c r="AF17" s="34" t="s">
        <v>268</v>
      </c>
      <c r="AG17" s="47" t="s">
        <v>250</v>
      </c>
      <c r="AH17" s="47" t="s">
        <v>250</v>
      </c>
      <c r="AI17" s="19" t="s">
        <v>136</v>
      </c>
      <c r="AJ17" s="19"/>
      <c r="AK17" s="19"/>
      <c r="AL17" s="39" t="s">
        <v>135</v>
      </c>
      <c r="AM17" s="40"/>
      <c r="AN17" s="40"/>
      <c r="AO17" s="39" t="s">
        <v>252</v>
      </c>
      <c r="AP17" s="40"/>
      <c r="AQ17" s="37"/>
      <c r="AR17" s="39" t="s">
        <v>253</v>
      </c>
      <c r="AS17" s="40"/>
      <c r="AT17" s="37"/>
      <c r="AU17" s="52" t="s">
        <v>256</v>
      </c>
    </row>
    <row r="18" spans="1:50" ht="12" x14ac:dyDescent="0.25">
      <c r="W18" s="20" t="s">
        <v>142</v>
      </c>
      <c r="X18" s="21" t="s">
        <v>109</v>
      </c>
      <c r="Y18" s="22" t="s">
        <v>138</v>
      </c>
      <c r="Z18" s="22" t="s">
        <v>113</v>
      </c>
      <c r="AA18" s="22" t="s">
        <v>114</v>
      </c>
      <c r="AB18" s="22" t="s">
        <v>115</v>
      </c>
      <c r="AC18" s="21" t="s">
        <v>117</v>
      </c>
      <c r="AD18" s="35"/>
      <c r="AE18" s="35"/>
      <c r="AF18" s="35"/>
      <c r="AG18" s="35"/>
      <c r="AH18" s="35" t="s">
        <v>259</v>
      </c>
      <c r="AI18" s="23" t="s">
        <v>135</v>
      </c>
      <c r="AJ18" s="24" t="s">
        <v>225</v>
      </c>
      <c r="AK18" s="44" t="s">
        <v>226</v>
      </c>
      <c r="AL18" s="41" t="s">
        <v>134</v>
      </c>
      <c r="AM18" s="42"/>
      <c r="AN18" s="42"/>
      <c r="AO18" s="41"/>
      <c r="AP18" s="42"/>
      <c r="AQ18" s="43"/>
      <c r="AR18" s="41"/>
      <c r="AS18" s="42"/>
      <c r="AT18" s="43"/>
      <c r="AU18" s="53"/>
    </row>
    <row r="19" spans="1:50" ht="12.45" thickBot="1" x14ac:dyDescent="0.3">
      <c r="W19" s="25" t="s">
        <v>141</v>
      </c>
      <c r="X19" s="26" t="s">
        <v>110</v>
      </c>
      <c r="Y19" s="27" t="s">
        <v>137</v>
      </c>
      <c r="Z19" s="27" t="s">
        <v>112</v>
      </c>
      <c r="AA19" s="27" t="s">
        <v>227</v>
      </c>
      <c r="AB19" s="27" t="s">
        <v>116</v>
      </c>
      <c r="AC19" s="26" t="s">
        <v>116</v>
      </c>
      <c r="AD19" s="27"/>
      <c r="AE19" s="27"/>
      <c r="AF19" s="27"/>
      <c r="AG19" s="27"/>
      <c r="AH19" s="27"/>
      <c r="AI19" s="28" t="s">
        <v>134</v>
      </c>
      <c r="AJ19" s="29"/>
      <c r="AK19" s="45"/>
      <c r="AL19" s="49" t="s">
        <v>222</v>
      </c>
      <c r="AM19" s="49" t="s">
        <v>223</v>
      </c>
      <c r="AN19" s="49" t="s">
        <v>254</v>
      </c>
      <c r="AO19" s="49" t="s">
        <v>222</v>
      </c>
      <c r="AP19" s="49" t="s">
        <v>223</v>
      </c>
      <c r="AQ19" s="49" t="s">
        <v>254</v>
      </c>
      <c r="AR19" s="49" t="s">
        <v>222</v>
      </c>
      <c r="AS19" s="49" t="s">
        <v>223</v>
      </c>
      <c r="AT19" s="49" t="s">
        <v>254</v>
      </c>
      <c r="AU19" s="50"/>
    </row>
    <row r="20" spans="1:50" x14ac:dyDescent="0.25">
      <c r="A20" s="17" t="s">
        <v>255</v>
      </c>
      <c r="C20" s="112" t="s">
        <v>119</v>
      </c>
      <c r="D20" s="166"/>
      <c r="E20" s="166"/>
      <c r="F20" s="166"/>
      <c r="G20" s="166"/>
      <c r="H20" s="167"/>
      <c r="I20" s="112" t="s">
        <v>214</v>
      </c>
      <c r="J20" s="166"/>
      <c r="K20" s="166"/>
      <c r="L20" s="166"/>
      <c r="M20" s="166"/>
      <c r="N20" s="167"/>
      <c r="O20" s="112" t="s">
        <v>215</v>
      </c>
      <c r="P20" s="166"/>
      <c r="Q20" s="166"/>
      <c r="R20" s="166"/>
      <c r="S20" s="166"/>
      <c r="T20" s="167"/>
      <c r="W20" s="30">
        <v>1</v>
      </c>
      <c r="X20" s="31" t="e">
        <f>IF(ISBLANK(Projektformular!AV13)=TRUE,NA(),Projektformular!AV13)</f>
        <v>#N/A</v>
      </c>
      <c r="Y20" s="31" t="e">
        <f>IF(ISBLANK(Projektformular!AX13)=TRUE,NA(),Projektformular!AX13)</f>
        <v>#N/A</v>
      </c>
      <c r="Z20" s="32" t="e">
        <f>IF(ISBLANK(Projektformular!AZ13)=TRUE,NA(),Projektformular!AZ13)</f>
        <v>#N/A</v>
      </c>
      <c r="AA20" s="32" t="e">
        <f>IF(ISBLANK(Projektformular!BA13)=TRUE,NA(),Projektformular!BA13)</f>
        <v>#N/A</v>
      </c>
      <c r="AB20" s="32" t="e">
        <f>IF(ISBLANK(Projektformular!BB13)=TRUE,NA(),Projektformular!BB13)</f>
        <v>#N/A</v>
      </c>
      <c r="AC20" s="32" t="str">
        <f>IF(ISBLANK(Projektformular!BC13)=TRUE,NA(),Projektformular!BC13)</f>
        <v/>
      </c>
      <c r="AD20" s="32" t="e">
        <f t="shared" ref="AD20:AD39" si="9">AB20/Z20</f>
        <v>#N/A</v>
      </c>
      <c r="AE20" s="32" t="e">
        <f>AB20/AA20</f>
        <v>#N/A</v>
      </c>
      <c r="AF20" s="32" t="e">
        <f>Z20*1000/AA20</f>
        <v>#N/A</v>
      </c>
      <c r="AG20" s="48" t="e">
        <f>IF(AND(X20=Dropdown!$A$64,Y20=Dropdown!$A$71),$X$4,IF(AND(X20=Dropdown!$A$64,Y20=Dropdown!$A$72),$Y$4,IF(AND(X20=Dropdown!$A$64,Y20=Dropdown!$A$73),$Z$4,    IF(AND(X20=Dropdown!$A$65,Y20=Dropdown!$A$71),$AA$4,IF(AND(X20=Dropdown!$A$65,Y20=Dropdown!$A$72),$AB$4,IF(AND(X20=Dropdown!$A$65,Y20=Dropdown!$A$73),$AC$4,    IF(AND(X20=Dropdown!$A$66,Y20=Dropdown!$A$71),$AD$4,IF(AND(X20=Dropdown!$A$66,Y20=Dropdown!$A$72),$AE$4,IF(AND(X20=Dropdown!$A$66,Y20=Dropdown!$A$73),$AF$4,    IF(AND(X20=Dropdown!$A$67,Y20=Dropdown!$A$71),$AD$4,IF(AND(X20=Dropdown!$A$67,Y20=Dropdown!$A$72),$AE$4,IF(AND(X20=Dropdown!$A$67,Y20=Dropdown!$A$73),$AF$4,    NA()))))))))))))</f>
        <v>#N/A</v>
      </c>
      <c r="AH20" s="48" t="e">
        <f>AG20&amp;" up"</f>
        <v>#N/A</v>
      </c>
      <c r="AI20" s="33" t="e">
        <f t="shared" ref="AI20:AI39" si="10">HLOOKUP(AG20,$X$4:$AF$14,MATCH(TEXT($W$16,"#")&amp;" VBZ",$V$4:$V$14,0),FALSE)</f>
        <v>#N/A</v>
      </c>
      <c r="AJ20" s="33" t="e">
        <f t="shared" ref="AJ20:AJ39" si="11">HLOOKUP(AG20,$X$4:$AF$14,MATCH(TEXT($W$16,"#")&amp;" Energie",$V$4:$V$14,0),FALSE)</f>
        <v>#N/A</v>
      </c>
      <c r="AK20" s="33" t="e">
        <f t="shared" ref="AK20:AK39" si="12">HLOOKUP(AG20,$X$4:$AF$14,MATCH(TEXT($W$16,"#")&amp;" Leistung",$V$4:$V$14,0),FALSE)</f>
        <v>#N/A</v>
      </c>
      <c r="AL20" s="32" t="e">
        <f>HLOOKUP(AG20,$C$22:$T$32,MATCH(TEXT($W$16,"#")&amp;" VBZ",$A$22:$A$32,0),FALSE)</f>
        <v>#N/A</v>
      </c>
      <c r="AM20" s="32" t="e">
        <f>HLOOKUP(AH20,$C$22:$T$32,MATCH(TEXT($W$16,"#")&amp;" VBZ",$A$22:$A$32,0),FALSE)</f>
        <v>#N/A</v>
      </c>
      <c r="AN20" s="32" t="e">
        <f>IF(AND(AD20&gt;=AL20,AD20&lt;=AM20),Dropdown!$A$19,Dropdown!$A$20)</f>
        <v>#N/A</v>
      </c>
      <c r="AO20" s="32" t="e">
        <f>HLOOKUP(AG20,$C$22:$T$32,MATCH(TEXT($W$16,"#")&amp;" Energie",$A$22:$A$32,0),FALSE)</f>
        <v>#N/A</v>
      </c>
      <c r="AP20" s="32" t="e">
        <f>HLOOKUP(AH20,$C$22:$T$32,MATCH(TEXT($W$16,"#")&amp;" Energie",$A$22:$A$32,0),FALSE)</f>
        <v>#N/A</v>
      </c>
      <c r="AQ20" s="32" t="e">
        <f>IF(AND(AE20&gt;=AO20,AE20&lt;=AP20),Dropdown!$A$19,Dropdown!$A$20)</f>
        <v>#N/A</v>
      </c>
      <c r="AR20" s="32" t="e">
        <f>HLOOKUP(AG20,$C$22:$T$32,MATCH(TEXT($W$16,"#")&amp;" Leistung",$A$22:$A$32,0),FALSE)</f>
        <v>#N/A</v>
      </c>
      <c r="AS20" s="32" t="e">
        <f>HLOOKUP(AH20,$C$22:$T$32,MATCH(TEXT($W$16,"#")&amp;" Leistung",$A$22:$A$32,0),FALSE)</f>
        <v>#N/A</v>
      </c>
      <c r="AT20" s="32" t="e">
        <f>IF(AND(AF20&gt;=AR20,AF20&lt;=AS20),Dropdown!$A$19,Dropdown!$A$20)</f>
        <v>#N/A</v>
      </c>
      <c r="AU20" s="251" t="e">
        <f>IF(AND(AN20=Dropdown!$A$19,AQ20=Dropdown!$A$19,AT20=Dropdown!$A$19),Dropdown!$A$19,Dropdown!$A$20)</f>
        <v>#N/A</v>
      </c>
      <c r="AV20" s="73" t="str">
        <f>IF(Projektformular!AX45="",Dropdown!A$19,Projektformular!AX45)</f>
        <v>Ja</v>
      </c>
      <c r="AW20" s="252" t="str">
        <f>IF(Projektformular!AY45="","",Projektformular!AY45)</f>
        <v/>
      </c>
      <c r="AX20" s="253"/>
    </row>
    <row r="21" spans="1:50" x14ac:dyDescent="0.25">
      <c r="A21" s="63"/>
      <c r="B21" s="63"/>
      <c r="C21" s="168"/>
      <c r="D21" s="63"/>
      <c r="E21" s="63"/>
      <c r="F21" s="63"/>
      <c r="G21" s="63"/>
      <c r="H21" s="169"/>
      <c r="I21" s="168"/>
      <c r="J21" s="63"/>
      <c r="K21" s="63"/>
      <c r="L21" s="63"/>
      <c r="M21" s="63"/>
      <c r="N21" s="169"/>
      <c r="O21" s="168"/>
      <c r="P21" s="63"/>
      <c r="Q21" s="63"/>
      <c r="R21" s="63"/>
      <c r="S21" s="63"/>
      <c r="T21" s="169"/>
      <c r="W21" s="30">
        <v>2</v>
      </c>
      <c r="X21" s="31" t="e">
        <f>IF(ISBLANK(Projektformular!AV14)=TRUE,NA(),Projektformular!AV14)</f>
        <v>#N/A</v>
      </c>
      <c r="Y21" s="31" t="e">
        <f>IF(ISBLANK(Projektformular!AX14)=TRUE,NA(),Projektformular!AX14)</f>
        <v>#N/A</v>
      </c>
      <c r="Z21" s="32" t="e">
        <f>IF(ISBLANK(Projektformular!AZ14)=TRUE,NA(),Projektformular!AZ14)</f>
        <v>#N/A</v>
      </c>
      <c r="AA21" s="32" t="e">
        <f>IF(ISBLANK(Projektformular!BA14)=TRUE,NA(),Projektformular!BA14)</f>
        <v>#N/A</v>
      </c>
      <c r="AB21" s="32" t="e">
        <f>IF(ISBLANK(Projektformular!BB14)=TRUE,NA(),Projektformular!BB14)</f>
        <v>#N/A</v>
      </c>
      <c r="AC21" s="32" t="str">
        <f>IF(ISBLANK(Projektformular!BC14)=TRUE,NA(),Projektformular!BC14)</f>
        <v/>
      </c>
      <c r="AD21" s="32" t="e">
        <f t="shared" si="9"/>
        <v>#N/A</v>
      </c>
      <c r="AE21" s="32" t="e">
        <f t="shared" ref="AE21:AE39" si="13">AB21/AA21</f>
        <v>#N/A</v>
      </c>
      <c r="AF21" s="32" t="e">
        <f t="shared" ref="AF21:AF39" si="14">Z21*1000/AA21</f>
        <v>#N/A</v>
      </c>
      <c r="AG21" s="48" t="e">
        <f>IF(AND(X21=Dropdown!$A$64,Y21=Dropdown!$A$71),$X$4,IF(AND(X21=Dropdown!$A$64,Y21=Dropdown!$A$72),$Y$4,IF(AND(X21=Dropdown!$A$64,Y21=Dropdown!$A$73),$Z$4,    IF(AND(X21=Dropdown!$A$65,Y21=Dropdown!$A$71),$AA$4,IF(AND(X21=Dropdown!$A$65,Y21=Dropdown!$A$72),$AB$4,IF(AND(X21=Dropdown!$A$65,Y21=Dropdown!$A$73),$AC$4,    IF(AND(X21=Dropdown!$A$66,Y21=Dropdown!$A$71),$AD$4,IF(AND(X21=Dropdown!$A$66,Y21=Dropdown!$A$72),$AE$4,IF(AND(X21=Dropdown!$A$66,Y21=Dropdown!$A$73),$AF$4,    IF(AND(X21=Dropdown!$A$67,Y21=Dropdown!$A$71),$AD$4,IF(AND(X21=Dropdown!$A$67,Y21=Dropdown!$A$72),$AE$4,IF(AND(X21=Dropdown!$A$67,Y21=Dropdown!$A$73),$AF$4,    NA()))))))))))))</f>
        <v>#N/A</v>
      </c>
      <c r="AH21" s="48" t="e">
        <f t="shared" ref="AH21:AH39" si="15">AG21&amp;" up"</f>
        <v>#N/A</v>
      </c>
      <c r="AI21" s="33" t="e">
        <f t="shared" si="10"/>
        <v>#N/A</v>
      </c>
      <c r="AJ21" s="33" t="e">
        <f t="shared" si="11"/>
        <v>#N/A</v>
      </c>
      <c r="AK21" s="33" t="e">
        <f t="shared" si="12"/>
        <v>#N/A</v>
      </c>
      <c r="AL21" s="32" t="e">
        <f t="shared" ref="AL21:AL39" si="16">HLOOKUP(AG21,$C$22:$T$32,MATCH(TEXT($W$16,"#")&amp;" VBZ",$A$22:$A$32,0),FALSE)</f>
        <v>#N/A</v>
      </c>
      <c r="AM21" s="32" t="e">
        <f t="shared" ref="AM21:AM39" si="17">HLOOKUP(AH21,$C$22:$T$32,MATCH(TEXT($W$16,"#")&amp;" VBZ",$A$22:$A$32,0),FALSE)</f>
        <v>#N/A</v>
      </c>
      <c r="AN21" s="32" t="e">
        <f>IF(AND(AD21&gt;=AL21,AD21&lt;=AM21),Dropdown!$A$19,Dropdown!$A$20)</f>
        <v>#N/A</v>
      </c>
      <c r="AO21" s="32" t="e">
        <f t="shared" ref="AO21:AO39" si="18">HLOOKUP(AG21,$C$22:$T$32,MATCH(TEXT($W$16,"#")&amp;" Energie",$A$22:$A$32,0),FALSE)</f>
        <v>#N/A</v>
      </c>
      <c r="AP21" s="32" t="e">
        <f t="shared" ref="AP21:AP39" si="19">HLOOKUP(AH21,$C$22:$T$32,MATCH(TEXT($W$16,"#")&amp;" Energie",$A$22:$A$32,0),FALSE)</f>
        <v>#N/A</v>
      </c>
      <c r="AQ21" s="32" t="e">
        <f>IF(AND(AE21&gt;=AO21,AE21&lt;=AP21),Dropdown!$A$19,Dropdown!$A$20)</f>
        <v>#N/A</v>
      </c>
      <c r="AR21" s="32" t="e">
        <f t="shared" ref="AR21:AR39" si="20">HLOOKUP(AG21,$C$22:$T$32,MATCH(TEXT($W$16,"#")&amp;" Leistung",$A$22:$A$32,0),FALSE)</f>
        <v>#N/A</v>
      </c>
      <c r="AS21" s="32" t="e">
        <f t="shared" ref="AS21:AS39" si="21">HLOOKUP(AH21,$C$22:$T$32,MATCH(TEXT($W$16,"#")&amp;" Leistung",$A$22:$A$32,0),FALSE)</f>
        <v>#N/A</v>
      </c>
      <c r="AT21" s="32" t="e">
        <f>IF(AND(AF21&gt;=AR21,AF21&lt;=AS21),Dropdown!$A$19,Dropdown!$A$20)</f>
        <v>#N/A</v>
      </c>
      <c r="AU21" s="251" t="e">
        <f>IF(AND(AN21=Dropdown!$A$19,AQ21=Dropdown!$A$19,AT21=Dropdown!$A$19),Dropdown!$A$19,Dropdown!$A$20)</f>
        <v>#N/A</v>
      </c>
      <c r="AV21" s="73" t="str">
        <f>IF(Projektformular!AX46="",Dropdown!A$19,Projektformular!AX46)</f>
        <v>Ja</v>
      </c>
      <c r="AW21" s="252" t="str">
        <f>IF(Projektformular!AY46="","",Projektformular!AY46)</f>
        <v/>
      </c>
      <c r="AX21" s="253"/>
    </row>
    <row r="22" spans="1:50" x14ac:dyDescent="0.25">
      <c r="A22" s="73" t="s">
        <v>210</v>
      </c>
      <c r="B22" s="74" t="s">
        <v>175</v>
      </c>
      <c r="C22" s="170" t="s">
        <v>241</v>
      </c>
      <c r="D22" s="170" t="s">
        <v>257</v>
      </c>
      <c r="E22" s="171" t="s">
        <v>242</v>
      </c>
      <c r="F22" s="171" t="s">
        <v>258</v>
      </c>
      <c r="G22" s="171" t="s">
        <v>243</v>
      </c>
      <c r="H22" s="172" t="s">
        <v>260</v>
      </c>
      <c r="I22" s="170" t="s">
        <v>244</v>
      </c>
      <c r="J22" s="170" t="s">
        <v>261</v>
      </c>
      <c r="K22" s="171" t="s">
        <v>245</v>
      </c>
      <c r="L22" s="171" t="s">
        <v>262</v>
      </c>
      <c r="M22" s="171" t="s">
        <v>246</v>
      </c>
      <c r="N22" s="172" t="s">
        <v>263</v>
      </c>
      <c r="O22" s="170" t="s">
        <v>247</v>
      </c>
      <c r="P22" s="173" t="s">
        <v>264</v>
      </c>
      <c r="Q22" s="171" t="s">
        <v>248</v>
      </c>
      <c r="R22" s="171" t="s">
        <v>265</v>
      </c>
      <c r="S22" s="171" t="s">
        <v>249</v>
      </c>
      <c r="T22" s="172" t="s">
        <v>266</v>
      </c>
      <c r="W22" s="30">
        <v>3</v>
      </c>
      <c r="X22" s="31" t="e">
        <f>IF(ISBLANK(Projektformular!AV15)=TRUE,NA(),Projektformular!AV15)</f>
        <v>#N/A</v>
      </c>
      <c r="Y22" s="31" t="e">
        <f>IF(ISBLANK(Projektformular!AX15)=TRUE,NA(),Projektformular!AX15)</f>
        <v>#N/A</v>
      </c>
      <c r="Z22" s="32" t="e">
        <f>IF(ISBLANK(Projektformular!AZ15)=TRUE,NA(),Projektformular!AZ15)</f>
        <v>#N/A</v>
      </c>
      <c r="AA22" s="32" t="e">
        <f>IF(ISBLANK(Projektformular!BA15)=TRUE,NA(),Projektformular!BA15)</f>
        <v>#N/A</v>
      </c>
      <c r="AB22" s="32" t="e">
        <f>IF(ISBLANK(Projektformular!BB15)=TRUE,NA(),Projektformular!BB15)</f>
        <v>#N/A</v>
      </c>
      <c r="AC22" s="32" t="str">
        <f>IF(ISBLANK(Projektformular!BC15)=TRUE,NA(),Projektformular!BC15)</f>
        <v/>
      </c>
      <c r="AD22" s="32" t="e">
        <f t="shared" si="9"/>
        <v>#N/A</v>
      </c>
      <c r="AE22" s="32" t="e">
        <f t="shared" si="13"/>
        <v>#N/A</v>
      </c>
      <c r="AF22" s="32" t="e">
        <f t="shared" si="14"/>
        <v>#N/A</v>
      </c>
      <c r="AG22" s="48" t="e">
        <f>IF(AND(X22=Dropdown!$A$64,Y22=Dropdown!$A$71),$X$4,IF(AND(X22=Dropdown!$A$64,Y22=Dropdown!$A$72),$Y$4,IF(AND(X22=Dropdown!$A$64,Y22=Dropdown!$A$73),$Z$4,    IF(AND(X22=Dropdown!$A$65,Y22=Dropdown!$A$71),$AA$4,IF(AND(X22=Dropdown!$A$65,Y22=Dropdown!$A$72),$AB$4,IF(AND(X22=Dropdown!$A$65,Y22=Dropdown!$A$73),$AC$4,    IF(AND(X22=Dropdown!$A$66,Y22=Dropdown!$A$71),$AD$4,IF(AND(X22=Dropdown!$A$66,Y22=Dropdown!$A$72),$AE$4,IF(AND(X22=Dropdown!$A$66,Y22=Dropdown!$A$73),$AF$4,    IF(AND(X22=Dropdown!$A$67,Y22=Dropdown!$A$71),$AD$4,IF(AND(X22=Dropdown!$A$67,Y22=Dropdown!$A$72),$AE$4,IF(AND(X22=Dropdown!$A$67,Y22=Dropdown!$A$73),$AF$4,    NA()))))))))))))</f>
        <v>#N/A</v>
      </c>
      <c r="AH22" s="48" t="e">
        <f t="shared" si="15"/>
        <v>#N/A</v>
      </c>
      <c r="AI22" s="33" t="e">
        <f t="shared" si="10"/>
        <v>#N/A</v>
      </c>
      <c r="AJ22" s="33" t="e">
        <f t="shared" si="11"/>
        <v>#N/A</v>
      </c>
      <c r="AK22" s="33" t="e">
        <f t="shared" si="12"/>
        <v>#N/A</v>
      </c>
      <c r="AL22" s="32" t="e">
        <f t="shared" si="16"/>
        <v>#N/A</v>
      </c>
      <c r="AM22" s="32" t="e">
        <f t="shared" si="17"/>
        <v>#N/A</v>
      </c>
      <c r="AN22" s="32" t="e">
        <f>IF(AND(AD22&gt;=AL22,AD22&lt;=AM22),Dropdown!$A$19,Dropdown!$A$20)</f>
        <v>#N/A</v>
      </c>
      <c r="AO22" s="32" t="e">
        <f t="shared" si="18"/>
        <v>#N/A</v>
      </c>
      <c r="AP22" s="32" t="e">
        <f t="shared" si="19"/>
        <v>#N/A</v>
      </c>
      <c r="AQ22" s="32" t="e">
        <f>IF(AND(AE22&gt;=AO22,AE22&lt;=AP22),Dropdown!$A$19,Dropdown!$A$20)</f>
        <v>#N/A</v>
      </c>
      <c r="AR22" s="32" t="e">
        <f t="shared" si="20"/>
        <v>#N/A</v>
      </c>
      <c r="AS22" s="32" t="e">
        <f t="shared" si="21"/>
        <v>#N/A</v>
      </c>
      <c r="AT22" s="32" t="e">
        <f>IF(AND(AF22&gt;=AR22,AF22&lt;=AS22),Dropdown!$A$19,Dropdown!$A$20)</f>
        <v>#N/A</v>
      </c>
      <c r="AU22" s="251" t="e">
        <f>IF(AND(AN22=Dropdown!$A$19,AQ22=Dropdown!$A$19,AT22=Dropdown!$A$19),Dropdown!$A$19,Dropdown!$A$20)</f>
        <v>#N/A</v>
      </c>
      <c r="AV22" s="73" t="str">
        <f>IF(Projektformular!AX47="",Dropdown!A$19,Projektformular!AX47)</f>
        <v>Ja</v>
      </c>
      <c r="AW22" s="252" t="str">
        <f>IF(Projektformular!AY47="","",Projektformular!AY47)</f>
        <v/>
      </c>
      <c r="AX22" s="253"/>
    </row>
    <row r="23" spans="1:50" ht="10.75" thickBot="1" x14ac:dyDescent="0.3">
      <c r="A23" s="34" t="s">
        <v>224</v>
      </c>
      <c r="B23" s="96"/>
      <c r="C23" s="174" t="s">
        <v>222</v>
      </c>
      <c r="D23" s="175" t="s">
        <v>223</v>
      </c>
      <c r="E23" s="176" t="s">
        <v>222</v>
      </c>
      <c r="F23" s="175" t="s">
        <v>223</v>
      </c>
      <c r="G23" s="176" t="s">
        <v>222</v>
      </c>
      <c r="H23" s="177" t="s">
        <v>223</v>
      </c>
      <c r="I23" s="174" t="s">
        <v>222</v>
      </c>
      <c r="J23" s="175" t="s">
        <v>223</v>
      </c>
      <c r="K23" s="176" t="s">
        <v>222</v>
      </c>
      <c r="L23" s="175" t="s">
        <v>223</v>
      </c>
      <c r="M23" s="176" t="s">
        <v>222</v>
      </c>
      <c r="N23" s="177" t="s">
        <v>223</v>
      </c>
      <c r="O23" s="174" t="s">
        <v>222</v>
      </c>
      <c r="P23" s="175" t="s">
        <v>223</v>
      </c>
      <c r="Q23" s="176" t="s">
        <v>222</v>
      </c>
      <c r="R23" s="175" t="s">
        <v>223</v>
      </c>
      <c r="S23" s="176" t="s">
        <v>222</v>
      </c>
      <c r="T23" s="177" t="s">
        <v>223</v>
      </c>
      <c r="W23" s="30">
        <v>4</v>
      </c>
      <c r="X23" s="31" t="e">
        <f>IF(ISBLANK(Projektformular!AV16)=TRUE,NA(),Projektformular!AV16)</f>
        <v>#N/A</v>
      </c>
      <c r="Y23" s="31" t="e">
        <f>IF(ISBLANK(Projektformular!AX16)=TRUE,NA(),Projektformular!AX16)</f>
        <v>#N/A</v>
      </c>
      <c r="Z23" s="32" t="e">
        <f>IF(ISBLANK(Projektformular!AZ16)=TRUE,NA(),Projektformular!AZ16)</f>
        <v>#N/A</v>
      </c>
      <c r="AA23" s="32" t="e">
        <f>IF(ISBLANK(Projektformular!BA16)=TRUE,NA(),Projektformular!BA16)</f>
        <v>#N/A</v>
      </c>
      <c r="AB23" s="32" t="e">
        <f>IF(ISBLANK(Projektformular!BB16)=TRUE,NA(),Projektformular!BB16)</f>
        <v>#N/A</v>
      </c>
      <c r="AC23" s="32" t="str">
        <f>IF(ISBLANK(Projektformular!BC16)=TRUE,NA(),Projektformular!BC16)</f>
        <v/>
      </c>
      <c r="AD23" s="32" t="e">
        <f t="shared" si="9"/>
        <v>#N/A</v>
      </c>
      <c r="AE23" s="32" t="e">
        <f t="shared" si="13"/>
        <v>#N/A</v>
      </c>
      <c r="AF23" s="32" t="e">
        <f t="shared" si="14"/>
        <v>#N/A</v>
      </c>
      <c r="AG23" s="48" t="e">
        <f>IF(AND(X23=Dropdown!$A$64,Y23=Dropdown!$A$71),$X$4,IF(AND(X23=Dropdown!$A$64,Y23=Dropdown!$A$72),$Y$4,IF(AND(X23=Dropdown!$A$64,Y23=Dropdown!$A$73),$Z$4,    IF(AND(X23=Dropdown!$A$65,Y23=Dropdown!$A$71),$AA$4,IF(AND(X23=Dropdown!$A$65,Y23=Dropdown!$A$72),$AB$4,IF(AND(X23=Dropdown!$A$65,Y23=Dropdown!$A$73),$AC$4,    IF(AND(X23=Dropdown!$A$66,Y23=Dropdown!$A$71),$AD$4,IF(AND(X23=Dropdown!$A$66,Y23=Dropdown!$A$72),$AE$4,IF(AND(X23=Dropdown!$A$66,Y23=Dropdown!$A$73),$AF$4,    IF(AND(X23=Dropdown!$A$67,Y23=Dropdown!$A$71),$AD$4,IF(AND(X23=Dropdown!$A$67,Y23=Dropdown!$A$72),$AE$4,IF(AND(X23=Dropdown!$A$67,Y23=Dropdown!$A$73),$AF$4,    NA()))))))))))))</f>
        <v>#N/A</v>
      </c>
      <c r="AH23" s="48" t="e">
        <f t="shared" si="15"/>
        <v>#N/A</v>
      </c>
      <c r="AI23" s="33" t="e">
        <f t="shared" si="10"/>
        <v>#N/A</v>
      </c>
      <c r="AJ23" s="33" t="e">
        <f t="shared" si="11"/>
        <v>#N/A</v>
      </c>
      <c r="AK23" s="33" t="e">
        <f t="shared" si="12"/>
        <v>#N/A</v>
      </c>
      <c r="AL23" s="32" t="e">
        <f t="shared" si="16"/>
        <v>#N/A</v>
      </c>
      <c r="AM23" s="32" t="e">
        <f t="shared" si="17"/>
        <v>#N/A</v>
      </c>
      <c r="AN23" s="32" t="e">
        <f>IF(AND(AD23&gt;=AL23,AD23&lt;=AM23),Dropdown!$A$19,Dropdown!$A$20)</f>
        <v>#N/A</v>
      </c>
      <c r="AO23" s="32" t="e">
        <f t="shared" si="18"/>
        <v>#N/A</v>
      </c>
      <c r="AP23" s="32" t="e">
        <f t="shared" si="19"/>
        <v>#N/A</v>
      </c>
      <c r="AQ23" s="32" t="e">
        <f>IF(AND(AE23&gt;=AO23,AE23&lt;=AP23),Dropdown!$A$19,Dropdown!$A$20)</f>
        <v>#N/A</v>
      </c>
      <c r="AR23" s="32" t="e">
        <f t="shared" si="20"/>
        <v>#N/A</v>
      </c>
      <c r="AS23" s="32" t="e">
        <f t="shared" si="21"/>
        <v>#N/A</v>
      </c>
      <c r="AT23" s="32" t="e">
        <f>IF(AND(AF23&gt;=AR23,AF23&lt;=AS23),Dropdown!$A$19,Dropdown!$A$20)</f>
        <v>#N/A</v>
      </c>
      <c r="AU23" s="251" t="e">
        <f>IF(AND(AN23=Dropdown!$A$19,AQ23=Dropdown!$A$19,AT23=Dropdown!$A$19),Dropdown!$A$19,Dropdown!$A$20)</f>
        <v>#N/A</v>
      </c>
      <c r="AV23" s="73" t="str">
        <f>IF(Projektformular!AX48="",Dropdown!A$19,Projektformular!AX48)</f>
        <v>Ja</v>
      </c>
      <c r="AW23" s="252" t="str">
        <f>IF(Projektformular!AY48="","",Projektformular!AY48)</f>
        <v/>
      </c>
      <c r="AX23" s="253"/>
    </row>
    <row r="24" spans="1:50" ht="10.75" thickBot="1" x14ac:dyDescent="0.3">
      <c r="A24" s="112" t="s">
        <v>232</v>
      </c>
      <c r="B24" s="113" t="s">
        <v>211</v>
      </c>
      <c r="C24" s="178">
        <f>C6</f>
        <v>2000</v>
      </c>
      <c r="D24" s="179">
        <f t="shared" ref="D24:T24" si="22">D6</f>
        <v>2500</v>
      </c>
      <c r="E24" s="178">
        <f t="shared" si="22"/>
        <v>1600</v>
      </c>
      <c r="F24" s="179">
        <f t="shared" si="22"/>
        <v>2000</v>
      </c>
      <c r="G24" s="178">
        <f t="shared" si="22"/>
        <v>1300</v>
      </c>
      <c r="H24" s="180">
        <f t="shared" si="22"/>
        <v>1700</v>
      </c>
      <c r="I24" s="178">
        <f t="shared" si="22"/>
        <v>1800</v>
      </c>
      <c r="J24" s="179">
        <f t="shared" si="22"/>
        <v>2200</v>
      </c>
      <c r="K24" s="178">
        <f t="shared" si="22"/>
        <v>1200</v>
      </c>
      <c r="L24" s="179">
        <f t="shared" si="22"/>
        <v>1800</v>
      </c>
      <c r="M24" s="178">
        <f t="shared" si="22"/>
        <v>900</v>
      </c>
      <c r="N24" s="180">
        <f t="shared" si="22"/>
        <v>1300</v>
      </c>
      <c r="O24" s="178">
        <f t="shared" si="22"/>
        <v>1400</v>
      </c>
      <c r="P24" s="179">
        <f t="shared" si="22"/>
        <v>1800</v>
      </c>
      <c r="Q24" s="178">
        <f t="shared" si="22"/>
        <v>1000</v>
      </c>
      <c r="R24" s="179">
        <f t="shared" si="22"/>
        <v>1400</v>
      </c>
      <c r="S24" s="178">
        <f t="shared" si="22"/>
        <v>800</v>
      </c>
      <c r="T24" s="180">
        <f t="shared" si="22"/>
        <v>1100</v>
      </c>
      <c r="W24" s="30">
        <v>5</v>
      </c>
      <c r="X24" s="31" t="e">
        <f>IF(ISBLANK(Projektformular!AV17)=TRUE,NA(),Projektformular!AV17)</f>
        <v>#N/A</v>
      </c>
      <c r="Y24" s="31" t="e">
        <f>IF(ISBLANK(Projektformular!AX17)=TRUE,NA(),Projektformular!AX17)</f>
        <v>#N/A</v>
      </c>
      <c r="Z24" s="32" t="e">
        <f>IF(ISBLANK(Projektformular!AZ17)=TRUE,NA(),Projektformular!AZ17)</f>
        <v>#N/A</v>
      </c>
      <c r="AA24" s="32" t="e">
        <f>IF(ISBLANK(Projektformular!BA17)=TRUE,NA(),Projektformular!BA17)</f>
        <v>#N/A</v>
      </c>
      <c r="AB24" s="32" t="e">
        <f>IF(ISBLANK(Projektformular!BB17)=TRUE,NA(),Projektformular!BB17)</f>
        <v>#N/A</v>
      </c>
      <c r="AC24" s="32" t="str">
        <f>IF(ISBLANK(Projektformular!BC17)=TRUE,NA(),Projektformular!BC17)</f>
        <v/>
      </c>
      <c r="AD24" s="32" t="e">
        <f t="shared" si="9"/>
        <v>#N/A</v>
      </c>
      <c r="AE24" s="32" t="e">
        <f t="shared" si="13"/>
        <v>#N/A</v>
      </c>
      <c r="AF24" s="32" t="e">
        <f t="shared" si="14"/>
        <v>#N/A</v>
      </c>
      <c r="AG24" s="48" t="e">
        <f>IF(AND(X24=Dropdown!$A$64,Y24=Dropdown!$A$71),$X$4,IF(AND(X24=Dropdown!$A$64,Y24=Dropdown!$A$72),$Y$4,IF(AND(X24=Dropdown!$A$64,Y24=Dropdown!$A$73),$Z$4,    IF(AND(X24=Dropdown!$A$65,Y24=Dropdown!$A$71),$AA$4,IF(AND(X24=Dropdown!$A$65,Y24=Dropdown!$A$72),$AB$4,IF(AND(X24=Dropdown!$A$65,Y24=Dropdown!$A$73),$AC$4,    IF(AND(X24=Dropdown!$A$66,Y24=Dropdown!$A$71),$AD$4,IF(AND(X24=Dropdown!$A$66,Y24=Dropdown!$A$72),$AE$4,IF(AND(X24=Dropdown!$A$66,Y24=Dropdown!$A$73),$AF$4,    IF(AND(X24=Dropdown!$A$67,Y24=Dropdown!$A$71),$AD$4,IF(AND(X24=Dropdown!$A$67,Y24=Dropdown!$A$72),$AE$4,IF(AND(X24=Dropdown!$A$67,Y24=Dropdown!$A$73),$AF$4,    NA()))))))))))))</f>
        <v>#N/A</v>
      </c>
      <c r="AH24" s="48" t="e">
        <f t="shared" si="15"/>
        <v>#N/A</v>
      </c>
      <c r="AI24" s="33" t="e">
        <f t="shared" si="10"/>
        <v>#N/A</v>
      </c>
      <c r="AJ24" s="33" t="e">
        <f t="shared" si="11"/>
        <v>#N/A</v>
      </c>
      <c r="AK24" s="33" t="e">
        <f t="shared" si="12"/>
        <v>#N/A</v>
      </c>
      <c r="AL24" s="32" t="e">
        <f t="shared" si="16"/>
        <v>#N/A</v>
      </c>
      <c r="AM24" s="32" t="e">
        <f t="shared" si="17"/>
        <v>#N/A</v>
      </c>
      <c r="AN24" s="32" t="e">
        <f>IF(AND(AD24&gt;=AL24,AD24&lt;=AM24),Dropdown!$A$19,Dropdown!$A$20)</f>
        <v>#N/A</v>
      </c>
      <c r="AO24" s="32" t="e">
        <f t="shared" si="18"/>
        <v>#N/A</v>
      </c>
      <c r="AP24" s="32" t="e">
        <f t="shared" si="19"/>
        <v>#N/A</v>
      </c>
      <c r="AQ24" s="32" t="e">
        <f>IF(AND(AE24&gt;=AO24,AE24&lt;=AP24),Dropdown!$A$19,Dropdown!$A$20)</f>
        <v>#N/A</v>
      </c>
      <c r="AR24" s="32" t="e">
        <f t="shared" si="20"/>
        <v>#N/A</v>
      </c>
      <c r="AS24" s="32" t="e">
        <f t="shared" si="21"/>
        <v>#N/A</v>
      </c>
      <c r="AT24" s="32" t="e">
        <f>IF(AND(AF24&gt;=AR24,AF24&lt;=AS24),Dropdown!$A$19,Dropdown!$A$20)</f>
        <v>#N/A</v>
      </c>
      <c r="AU24" s="251" t="e">
        <f>IF(AND(AN24=Dropdown!$A$19,AQ24=Dropdown!$A$19,AT24=Dropdown!$A$19),Dropdown!$A$19,Dropdown!$A$20)</f>
        <v>#N/A</v>
      </c>
      <c r="AV24" s="73" t="str">
        <f>IF(Projektformular!AX49="",Dropdown!A$19,Projektformular!AX49)</f>
        <v>Ja</v>
      </c>
      <c r="AW24" s="252" t="str">
        <f>IF(Projektformular!AY49="","",Projektformular!AY49)</f>
        <v/>
      </c>
      <c r="AX24" s="253"/>
    </row>
    <row r="25" spans="1:50" ht="10.75" thickBot="1" x14ac:dyDescent="0.3">
      <c r="A25" s="132" t="s">
        <v>233</v>
      </c>
      <c r="B25" s="133" t="s">
        <v>212</v>
      </c>
      <c r="C25" s="178">
        <f t="shared" ref="C25:T25" si="23">C7</f>
        <v>80</v>
      </c>
      <c r="D25" s="179">
        <f t="shared" si="23"/>
        <v>120</v>
      </c>
      <c r="E25" s="178">
        <f t="shared" si="23"/>
        <v>50</v>
      </c>
      <c r="F25" s="179">
        <f t="shared" si="23"/>
        <v>80</v>
      </c>
      <c r="G25" s="178">
        <f t="shared" si="23"/>
        <v>40</v>
      </c>
      <c r="H25" s="180">
        <f t="shared" si="23"/>
        <v>60</v>
      </c>
      <c r="I25" s="178">
        <f t="shared" si="23"/>
        <v>60</v>
      </c>
      <c r="J25" s="179">
        <f t="shared" si="23"/>
        <v>100</v>
      </c>
      <c r="K25" s="178">
        <f t="shared" si="23"/>
        <v>30</v>
      </c>
      <c r="L25" s="179">
        <f t="shared" si="23"/>
        <v>60</v>
      </c>
      <c r="M25" s="178">
        <f t="shared" si="23"/>
        <v>20</v>
      </c>
      <c r="N25" s="180">
        <f t="shared" si="23"/>
        <v>40</v>
      </c>
      <c r="O25" s="178">
        <f t="shared" si="23"/>
        <v>60</v>
      </c>
      <c r="P25" s="179">
        <f t="shared" si="23"/>
        <v>100</v>
      </c>
      <c r="Q25" s="178">
        <f t="shared" si="23"/>
        <v>30</v>
      </c>
      <c r="R25" s="179">
        <f t="shared" si="23"/>
        <v>60</v>
      </c>
      <c r="S25" s="178">
        <f t="shared" si="23"/>
        <v>20</v>
      </c>
      <c r="T25" s="180">
        <f t="shared" si="23"/>
        <v>40</v>
      </c>
      <c r="W25" s="30">
        <v>6</v>
      </c>
      <c r="X25" s="31" t="e">
        <f>IF(ISBLANK(Projektformular!AV18)=TRUE,NA(),Projektformular!AV18)</f>
        <v>#N/A</v>
      </c>
      <c r="Y25" s="31" t="e">
        <f>IF(ISBLANK(Projektformular!AX18)=TRUE,NA(),Projektformular!AX18)</f>
        <v>#N/A</v>
      </c>
      <c r="Z25" s="32" t="e">
        <f>IF(ISBLANK(Projektformular!AZ18)=TRUE,NA(),Projektformular!AZ18)</f>
        <v>#N/A</v>
      </c>
      <c r="AA25" s="32" t="e">
        <f>IF(ISBLANK(Projektformular!BA18)=TRUE,NA(),Projektformular!BA18)</f>
        <v>#N/A</v>
      </c>
      <c r="AB25" s="32" t="e">
        <f>IF(ISBLANK(Projektformular!BB18)=TRUE,NA(),Projektformular!BB18)</f>
        <v>#N/A</v>
      </c>
      <c r="AC25" s="32" t="str">
        <f>IF(ISBLANK(Projektformular!BC18)=TRUE,NA(),Projektformular!BC18)</f>
        <v/>
      </c>
      <c r="AD25" s="32" t="e">
        <f t="shared" si="9"/>
        <v>#N/A</v>
      </c>
      <c r="AE25" s="32" t="e">
        <f t="shared" si="13"/>
        <v>#N/A</v>
      </c>
      <c r="AF25" s="32" t="e">
        <f t="shared" si="14"/>
        <v>#N/A</v>
      </c>
      <c r="AG25" s="48" t="e">
        <f>IF(AND(X25=Dropdown!$A$64,Y25=Dropdown!$A$71),$X$4,IF(AND(X25=Dropdown!$A$64,Y25=Dropdown!$A$72),$Y$4,IF(AND(X25=Dropdown!$A$64,Y25=Dropdown!$A$73),$Z$4,    IF(AND(X25=Dropdown!$A$65,Y25=Dropdown!$A$71),$AA$4,IF(AND(X25=Dropdown!$A$65,Y25=Dropdown!$A$72),$AB$4,IF(AND(X25=Dropdown!$A$65,Y25=Dropdown!$A$73),$AC$4,    IF(AND(X25=Dropdown!$A$66,Y25=Dropdown!$A$71),$AD$4,IF(AND(X25=Dropdown!$A$66,Y25=Dropdown!$A$72),$AE$4,IF(AND(X25=Dropdown!$A$66,Y25=Dropdown!$A$73),$AF$4,    IF(AND(X25=Dropdown!$A$67,Y25=Dropdown!$A$71),$AD$4,IF(AND(X25=Dropdown!$A$67,Y25=Dropdown!$A$72),$AE$4,IF(AND(X25=Dropdown!$A$67,Y25=Dropdown!$A$73),$AF$4,    NA()))))))))))))</f>
        <v>#N/A</v>
      </c>
      <c r="AH25" s="48" t="e">
        <f t="shared" si="15"/>
        <v>#N/A</v>
      </c>
      <c r="AI25" s="33" t="e">
        <f t="shared" si="10"/>
        <v>#N/A</v>
      </c>
      <c r="AJ25" s="33" t="e">
        <f t="shared" si="11"/>
        <v>#N/A</v>
      </c>
      <c r="AK25" s="33" t="e">
        <f t="shared" si="12"/>
        <v>#N/A</v>
      </c>
      <c r="AL25" s="32" t="e">
        <f t="shared" si="16"/>
        <v>#N/A</v>
      </c>
      <c r="AM25" s="32" t="e">
        <f t="shared" si="17"/>
        <v>#N/A</v>
      </c>
      <c r="AN25" s="32" t="e">
        <f>IF(AND(AD25&gt;=AL25,AD25&lt;=AM25),Dropdown!$A$19,Dropdown!$A$20)</f>
        <v>#N/A</v>
      </c>
      <c r="AO25" s="32" t="e">
        <f t="shared" si="18"/>
        <v>#N/A</v>
      </c>
      <c r="AP25" s="32" t="e">
        <f t="shared" si="19"/>
        <v>#N/A</v>
      </c>
      <c r="AQ25" s="32" t="e">
        <f>IF(AND(AE25&gt;=AO25,AE25&lt;=AP25),Dropdown!$A$19,Dropdown!$A$20)</f>
        <v>#N/A</v>
      </c>
      <c r="AR25" s="32" t="e">
        <f t="shared" si="20"/>
        <v>#N/A</v>
      </c>
      <c r="AS25" s="32" t="e">
        <f t="shared" si="21"/>
        <v>#N/A</v>
      </c>
      <c r="AT25" s="32" t="e">
        <f>IF(AND(AF25&gt;=AR25,AF25&lt;=AS25),Dropdown!$A$19,Dropdown!$A$20)</f>
        <v>#N/A</v>
      </c>
      <c r="AU25" s="251" t="e">
        <f>IF(AND(AN25=Dropdown!$A$19,AQ25=Dropdown!$A$19,AT25=Dropdown!$A$19),Dropdown!$A$19,Dropdown!$A$20)</f>
        <v>#N/A</v>
      </c>
      <c r="AV25" s="73" t="str">
        <f>IF(Projektformular!AX50="",Dropdown!A$19,Projektformular!AX50)</f>
        <v>Ja</v>
      </c>
      <c r="AW25" s="252" t="str">
        <f>IF(Projektformular!AY50="","",Projektformular!AY50)</f>
        <v/>
      </c>
      <c r="AX25" s="253"/>
    </row>
    <row r="26" spans="1:50" ht="10.75" thickBot="1" x14ac:dyDescent="0.3">
      <c r="A26" s="146" t="s">
        <v>234</v>
      </c>
      <c r="B26" s="147" t="s">
        <v>213</v>
      </c>
      <c r="C26" s="178">
        <f t="shared" ref="C26:T26" si="24">C8</f>
        <v>35</v>
      </c>
      <c r="D26" s="179">
        <f t="shared" si="24"/>
        <v>55</v>
      </c>
      <c r="E26" s="178">
        <f t="shared" si="24"/>
        <v>30</v>
      </c>
      <c r="F26" s="179">
        <f t="shared" si="24"/>
        <v>45</v>
      </c>
      <c r="G26" s="178">
        <f t="shared" si="24"/>
        <v>25</v>
      </c>
      <c r="H26" s="180">
        <f t="shared" si="24"/>
        <v>40</v>
      </c>
      <c r="I26" s="178">
        <f t="shared" si="24"/>
        <v>30</v>
      </c>
      <c r="J26" s="179">
        <f t="shared" si="24"/>
        <v>50</v>
      </c>
      <c r="K26" s="178">
        <f t="shared" si="24"/>
        <v>20</v>
      </c>
      <c r="L26" s="179">
        <f t="shared" si="24"/>
        <v>40</v>
      </c>
      <c r="M26" s="178">
        <f t="shared" si="24"/>
        <v>20</v>
      </c>
      <c r="N26" s="180">
        <f t="shared" si="24"/>
        <v>35</v>
      </c>
      <c r="O26" s="178">
        <f t="shared" si="24"/>
        <v>35</v>
      </c>
      <c r="P26" s="179">
        <f t="shared" si="24"/>
        <v>60</v>
      </c>
      <c r="Q26" s="178">
        <f t="shared" si="24"/>
        <v>25</v>
      </c>
      <c r="R26" s="179">
        <f t="shared" si="24"/>
        <v>50</v>
      </c>
      <c r="S26" s="178">
        <f t="shared" si="24"/>
        <v>25</v>
      </c>
      <c r="T26" s="180">
        <f t="shared" si="24"/>
        <v>40</v>
      </c>
      <c r="W26" s="30">
        <v>7</v>
      </c>
      <c r="X26" s="31" t="e">
        <f>IF(ISBLANK(Projektformular!AV19)=TRUE,NA(),Projektformular!AV19)</f>
        <v>#N/A</v>
      </c>
      <c r="Y26" s="31" t="e">
        <f>IF(ISBLANK(Projektformular!AX19)=TRUE,NA(),Projektformular!AX19)</f>
        <v>#N/A</v>
      </c>
      <c r="Z26" s="32" t="e">
        <f>IF(ISBLANK(Projektformular!AZ19)=TRUE,NA(),Projektformular!AZ19)</f>
        <v>#N/A</v>
      </c>
      <c r="AA26" s="32" t="e">
        <f>IF(ISBLANK(Projektformular!BA19)=TRUE,NA(),Projektformular!BA19)</f>
        <v>#N/A</v>
      </c>
      <c r="AB26" s="32" t="e">
        <f>IF(ISBLANK(Projektformular!BB19)=TRUE,NA(),Projektformular!BB19)</f>
        <v>#N/A</v>
      </c>
      <c r="AC26" s="32" t="str">
        <f>IF(ISBLANK(Projektformular!BC19)=TRUE,NA(),Projektformular!BC19)</f>
        <v/>
      </c>
      <c r="AD26" s="32" t="e">
        <f t="shared" si="9"/>
        <v>#N/A</v>
      </c>
      <c r="AE26" s="32" t="e">
        <f t="shared" si="13"/>
        <v>#N/A</v>
      </c>
      <c r="AF26" s="32" t="e">
        <f t="shared" si="14"/>
        <v>#N/A</v>
      </c>
      <c r="AG26" s="48" t="e">
        <f>IF(AND(X26=Dropdown!$A$64,Y26=Dropdown!$A$71),$X$4,IF(AND(X26=Dropdown!$A$64,Y26=Dropdown!$A$72),$Y$4,IF(AND(X26=Dropdown!$A$64,Y26=Dropdown!$A$73),$Z$4,    IF(AND(X26=Dropdown!$A$65,Y26=Dropdown!$A$71),$AA$4,IF(AND(X26=Dropdown!$A$65,Y26=Dropdown!$A$72),$AB$4,IF(AND(X26=Dropdown!$A$65,Y26=Dropdown!$A$73),$AC$4,    IF(AND(X26=Dropdown!$A$66,Y26=Dropdown!$A$71),$AD$4,IF(AND(X26=Dropdown!$A$66,Y26=Dropdown!$A$72),$AE$4,IF(AND(X26=Dropdown!$A$66,Y26=Dropdown!$A$73),$AF$4,    IF(AND(X26=Dropdown!$A$67,Y26=Dropdown!$A$71),$AD$4,IF(AND(X26=Dropdown!$A$67,Y26=Dropdown!$A$72),$AE$4,IF(AND(X26=Dropdown!$A$67,Y26=Dropdown!$A$73),$AF$4,    NA()))))))))))))</f>
        <v>#N/A</v>
      </c>
      <c r="AH26" s="48" t="e">
        <f t="shared" si="15"/>
        <v>#N/A</v>
      </c>
      <c r="AI26" s="33" t="e">
        <f t="shared" si="10"/>
        <v>#N/A</v>
      </c>
      <c r="AJ26" s="33" t="e">
        <f t="shared" si="11"/>
        <v>#N/A</v>
      </c>
      <c r="AK26" s="33" t="e">
        <f t="shared" si="12"/>
        <v>#N/A</v>
      </c>
      <c r="AL26" s="32" t="e">
        <f t="shared" si="16"/>
        <v>#N/A</v>
      </c>
      <c r="AM26" s="32" t="e">
        <f t="shared" si="17"/>
        <v>#N/A</v>
      </c>
      <c r="AN26" s="32" t="e">
        <f>IF(AND(AD26&gt;=AL26,AD26&lt;=AM26),Dropdown!$A$19,Dropdown!$A$20)</f>
        <v>#N/A</v>
      </c>
      <c r="AO26" s="32" t="e">
        <f t="shared" si="18"/>
        <v>#N/A</v>
      </c>
      <c r="AP26" s="32" t="e">
        <f t="shared" si="19"/>
        <v>#N/A</v>
      </c>
      <c r="AQ26" s="32" t="e">
        <f>IF(AND(AE26&gt;=AO26,AE26&lt;=AP26),Dropdown!$A$19,Dropdown!$A$20)</f>
        <v>#N/A</v>
      </c>
      <c r="AR26" s="32" t="e">
        <f t="shared" si="20"/>
        <v>#N/A</v>
      </c>
      <c r="AS26" s="32" t="e">
        <f t="shared" si="21"/>
        <v>#N/A</v>
      </c>
      <c r="AT26" s="32" t="e">
        <f>IF(AND(AF26&gt;=AR26,AF26&lt;=AS26),Dropdown!$A$19,Dropdown!$A$20)</f>
        <v>#N/A</v>
      </c>
      <c r="AU26" s="251" t="e">
        <f>IF(AND(AN26=Dropdown!$A$19,AQ26=Dropdown!$A$19,AT26=Dropdown!$A$19),Dropdown!$A$19,Dropdown!$A$20)</f>
        <v>#N/A</v>
      </c>
      <c r="AV26" s="73" t="str">
        <f>IF(Projektformular!AX51="",Dropdown!A$19,Projektformular!AX51)</f>
        <v>Ja</v>
      </c>
      <c r="AW26" s="252" t="str">
        <f>IF(Projektformular!AY51="","",Projektformular!AY51)</f>
        <v/>
      </c>
      <c r="AX26" s="253"/>
    </row>
    <row r="27" spans="1:50" ht="10.75" thickBot="1" x14ac:dyDescent="0.3">
      <c r="A27" s="112" t="s">
        <v>235</v>
      </c>
      <c r="B27" s="113" t="s">
        <v>211</v>
      </c>
      <c r="C27" s="178">
        <f t="shared" ref="C27:T27" si="25">C9</f>
        <v>2300</v>
      </c>
      <c r="D27" s="179">
        <f t="shared" si="25"/>
        <v>2800</v>
      </c>
      <c r="E27" s="178">
        <f t="shared" si="25"/>
        <v>1900</v>
      </c>
      <c r="F27" s="179">
        <f t="shared" si="25"/>
        <v>2300</v>
      </c>
      <c r="G27" s="178">
        <f t="shared" si="25"/>
        <v>1600</v>
      </c>
      <c r="H27" s="180">
        <f t="shared" si="25"/>
        <v>2000</v>
      </c>
      <c r="I27" s="178">
        <f t="shared" si="25"/>
        <v>2100</v>
      </c>
      <c r="J27" s="179">
        <f t="shared" si="25"/>
        <v>2600</v>
      </c>
      <c r="K27" s="178">
        <f t="shared" si="25"/>
        <v>1500</v>
      </c>
      <c r="L27" s="179">
        <f t="shared" si="25"/>
        <v>2100</v>
      </c>
      <c r="M27" s="178">
        <f t="shared" si="25"/>
        <v>1200</v>
      </c>
      <c r="N27" s="180">
        <f t="shared" si="25"/>
        <v>1600</v>
      </c>
      <c r="O27" s="178">
        <f t="shared" si="25"/>
        <v>1700</v>
      </c>
      <c r="P27" s="179">
        <f t="shared" si="25"/>
        <v>2200</v>
      </c>
      <c r="Q27" s="178">
        <f t="shared" si="25"/>
        <v>1300</v>
      </c>
      <c r="R27" s="179">
        <f t="shared" si="25"/>
        <v>1700</v>
      </c>
      <c r="S27" s="178">
        <f t="shared" si="25"/>
        <v>1000</v>
      </c>
      <c r="T27" s="180">
        <f t="shared" si="25"/>
        <v>1400</v>
      </c>
      <c r="W27" s="30">
        <v>8</v>
      </c>
      <c r="X27" s="31" t="e">
        <f>IF(ISBLANK(Projektformular!AV20)=TRUE,NA(),Projektformular!AV20)</f>
        <v>#N/A</v>
      </c>
      <c r="Y27" s="31" t="e">
        <f>IF(ISBLANK(Projektformular!AX20)=TRUE,NA(),Projektformular!AX20)</f>
        <v>#N/A</v>
      </c>
      <c r="Z27" s="32" t="e">
        <f>IF(ISBLANK(Projektformular!AZ20)=TRUE,NA(),Projektformular!AZ20)</f>
        <v>#N/A</v>
      </c>
      <c r="AA27" s="32" t="e">
        <f>IF(ISBLANK(Projektformular!BA20)=TRUE,NA(),Projektformular!BA20)</f>
        <v>#N/A</v>
      </c>
      <c r="AB27" s="32" t="e">
        <f>IF(ISBLANK(Projektformular!BB20)=TRUE,NA(),Projektformular!BB20)</f>
        <v>#N/A</v>
      </c>
      <c r="AC27" s="32" t="str">
        <f>IF(ISBLANK(Projektformular!BC20)=TRUE,NA(),Projektformular!BC20)</f>
        <v/>
      </c>
      <c r="AD27" s="32" t="e">
        <f t="shared" si="9"/>
        <v>#N/A</v>
      </c>
      <c r="AE27" s="32" t="e">
        <f t="shared" si="13"/>
        <v>#N/A</v>
      </c>
      <c r="AF27" s="32" t="e">
        <f t="shared" si="14"/>
        <v>#N/A</v>
      </c>
      <c r="AG27" s="48" t="e">
        <f>IF(AND(X27=Dropdown!$A$64,Y27=Dropdown!$A$71),$X$4,IF(AND(X27=Dropdown!$A$64,Y27=Dropdown!$A$72),$Y$4,IF(AND(X27=Dropdown!$A$64,Y27=Dropdown!$A$73),$Z$4,    IF(AND(X27=Dropdown!$A$65,Y27=Dropdown!$A$71),$AA$4,IF(AND(X27=Dropdown!$A$65,Y27=Dropdown!$A$72),$AB$4,IF(AND(X27=Dropdown!$A$65,Y27=Dropdown!$A$73),$AC$4,    IF(AND(X27=Dropdown!$A$66,Y27=Dropdown!$A$71),$AD$4,IF(AND(X27=Dropdown!$A$66,Y27=Dropdown!$A$72),$AE$4,IF(AND(X27=Dropdown!$A$66,Y27=Dropdown!$A$73),$AF$4,    IF(AND(X27=Dropdown!$A$67,Y27=Dropdown!$A$71),$AD$4,IF(AND(X27=Dropdown!$A$67,Y27=Dropdown!$A$72),$AE$4,IF(AND(X27=Dropdown!$A$67,Y27=Dropdown!$A$73),$AF$4,    NA()))))))))))))</f>
        <v>#N/A</v>
      </c>
      <c r="AH27" s="48" t="e">
        <f t="shared" si="15"/>
        <v>#N/A</v>
      </c>
      <c r="AI27" s="33" t="e">
        <f t="shared" si="10"/>
        <v>#N/A</v>
      </c>
      <c r="AJ27" s="33" t="e">
        <f t="shared" si="11"/>
        <v>#N/A</v>
      </c>
      <c r="AK27" s="33" t="e">
        <f t="shared" si="12"/>
        <v>#N/A</v>
      </c>
      <c r="AL27" s="32" t="e">
        <f t="shared" si="16"/>
        <v>#N/A</v>
      </c>
      <c r="AM27" s="32" t="e">
        <f t="shared" si="17"/>
        <v>#N/A</v>
      </c>
      <c r="AN27" s="32" t="e">
        <f>IF(AND(AD27&gt;=AL27,AD27&lt;=AM27),Dropdown!$A$19,Dropdown!$A$20)</f>
        <v>#N/A</v>
      </c>
      <c r="AO27" s="32" t="e">
        <f t="shared" si="18"/>
        <v>#N/A</v>
      </c>
      <c r="AP27" s="32" t="e">
        <f t="shared" si="19"/>
        <v>#N/A</v>
      </c>
      <c r="AQ27" s="32" t="e">
        <f>IF(AND(AE27&gt;=AO27,AE27&lt;=AP27),Dropdown!$A$19,Dropdown!$A$20)</f>
        <v>#N/A</v>
      </c>
      <c r="AR27" s="32" t="e">
        <f t="shared" si="20"/>
        <v>#N/A</v>
      </c>
      <c r="AS27" s="32" t="e">
        <f t="shared" si="21"/>
        <v>#N/A</v>
      </c>
      <c r="AT27" s="32" t="e">
        <f>IF(AND(AF27&gt;=AR27,AF27&lt;=AS27),Dropdown!$A$19,Dropdown!$A$20)</f>
        <v>#N/A</v>
      </c>
      <c r="AU27" s="251" t="e">
        <f>IF(AND(AN27=Dropdown!$A$19,AQ27=Dropdown!$A$19,AT27=Dropdown!$A$19),Dropdown!$A$19,Dropdown!$A$20)</f>
        <v>#N/A</v>
      </c>
      <c r="AV27" s="73" t="str">
        <f>IF(Projektformular!AX52="",Dropdown!A$19,Projektformular!AX52)</f>
        <v>Ja</v>
      </c>
      <c r="AW27" s="252" t="str">
        <f>IF(Projektformular!AY52="","",Projektformular!AY52)</f>
        <v/>
      </c>
      <c r="AX27" s="253"/>
    </row>
    <row r="28" spans="1:50" ht="10.75" thickBot="1" x14ac:dyDescent="0.3">
      <c r="A28" s="132" t="s">
        <v>236</v>
      </c>
      <c r="B28" s="133" t="s">
        <v>212</v>
      </c>
      <c r="C28" s="178">
        <f t="shared" ref="C28:T28" si="26">C10</f>
        <v>95</v>
      </c>
      <c r="D28" s="179">
        <f t="shared" si="26"/>
        <v>140</v>
      </c>
      <c r="E28" s="178">
        <f t="shared" si="26"/>
        <v>55</v>
      </c>
      <c r="F28" s="179">
        <f t="shared" si="26"/>
        <v>95</v>
      </c>
      <c r="G28" s="178">
        <f t="shared" si="26"/>
        <v>45</v>
      </c>
      <c r="H28" s="180">
        <f t="shared" si="26"/>
        <v>65</v>
      </c>
      <c r="I28" s="178">
        <f t="shared" si="26"/>
        <v>75</v>
      </c>
      <c r="J28" s="179">
        <f t="shared" si="26"/>
        <v>120</v>
      </c>
      <c r="K28" s="178">
        <f t="shared" si="26"/>
        <v>35</v>
      </c>
      <c r="L28" s="179">
        <f t="shared" si="26"/>
        <v>75</v>
      </c>
      <c r="M28" s="178">
        <f t="shared" si="26"/>
        <v>25</v>
      </c>
      <c r="N28" s="180">
        <f t="shared" si="26"/>
        <v>45</v>
      </c>
      <c r="O28" s="178">
        <f t="shared" si="26"/>
        <v>75</v>
      </c>
      <c r="P28" s="179">
        <f t="shared" si="26"/>
        <v>120</v>
      </c>
      <c r="Q28" s="178">
        <f t="shared" si="26"/>
        <v>35</v>
      </c>
      <c r="R28" s="179">
        <f t="shared" si="26"/>
        <v>75</v>
      </c>
      <c r="S28" s="178">
        <f t="shared" si="26"/>
        <v>25</v>
      </c>
      <c r="T28" s="180">
        <f t="shared" si="26"/>
        <v>45</v>
      </c>
      <c r="W28" s="30">
        <v>9</v>
      </c>
      <c r="X28" s="31" t="e">
        <f>IF(ISBLANK(Projektformular!AV21)=TRUE,NA(),Projektformular!AV21)</f>
        <v>#N/A</v>
      </c>
      <c r="Y28" s="31" t="e">
        <f>IF(ISBLANK(Projektformular!AX21)=TRUE,NA(),Projektformular!AX21)</f>
        <v>#N/A</v>
      </c>
      <c r="Z28" s="32" t="e">
        <f>IF(ISBLANK(Projektformular!AZ21)=TRUE,NA(),Projektformular!AZ21)</f>
        <v>#N/A</v>
      </c>
      <c r="AA28" s="32" t="e">
        <f>IF(ISBLANK(Projektformular!BA21)=TRUE,NA(),Projektformular!BA21)</f>
        <v>#N/A</v>
      </c>
      <c r="AB28" s="32" t="e">
        <f>IF(ISBLANK(Projektformular!BB21)=TRUE,NA(),Projektformular!BB21)</f>
        <v>#N/A</v>
      </c>
      <c r="AC28" s="32" t="str">
        <f>IF(ISBLANK(Projektformular!BC21)=TRUE,NA(),Projektformular!BC21)</f>
        <v/>
      </c>
      <c r="AD28" s="32" t="e">
        <f t="shared" si="9"/>
        <v>#N/A</v>
      </c>
      <c r="AE28" s="32" t="e">
        <f t="shared" si="13"/>
        <v>#N/A</v>
      </c>
      <c r="AF28" s="32" t="e">
        <f t="shared" si="14"/>
        <v>#N/A</v>
      </c>
      <c r="AG28" s="48" t="e">
        <f>IF(AND(X28=Dropdown!$A$64,Y28=Dropdown!$A$71),$X$4,IF(AND(X28=Dropdown!$A$64,Y28=Dropdown!$A$72),$Y$4,IF(AND(X28=Dropdown!$A$64,Y28=Dropdown!$A$73),$Z$4,    IF(AND(X28=Dropdown!$A$65,Y28=Dropdown!$A$71),$AA$4,IF(AND(X28=Dropdown!$A$65,Y28=Dropdown!$A$72),$AB$4,IF(AND(X28=Dropdown!$A$65,Y28=Dropdown!$A$73),$AC$4,    IF(AND(X28=Dropdown!$A$66,Y28=Dropdown!$A$71),$AD$4,IF(AND(X28=Dropdown!$A$66,Y28=Dropdown!$A$72),$AE$4,IF(AND(X28=Dropdown!$A$66,Y28=Dropdown!$A$73),$AF$4,    IF(AND(X28=Dropdown!$A$67,Y28=Dropdown!$A$71),$AD$4,IF(AND(X28=Dropdown!$A$67,Y28=Dropdown!$A$72),$AE$4,IF(AND(X28=Dropdown!$A$67,Y28=Dropdown!$A$73),$AF$4,    NA()))))))))))))</f>
        <v>#N/A</v>
      </c>
      <c r="AH28" s="48" t="e">
        <f t="shared" si="15"/>
        <v>#N/A</v>
      </c>
      <c r="AI28" s="33" t="e">
        <f t="shared" si="10"/>
        <v>#N/A</v>
      </c>
      <c r="AJ28" s="33" t="e">
        <f t="shared" si="11"/>
        <v>#N/A</v>
      </c>
      <c r="AK28" s="33" t="e">
        <f t="shared" si="12"/>
        <v>#N/A</v>
      </c>
      <c r="AL28" s="32" t="e">
        <f t="shared" si="16"/>
        <v>#N/A</v>
      </c>
      <c r="AM28" s="32" t="e">
        <f t="shared" si="17"/>
        <v>#N/A</v>
      </c>
      <c r="AN28" s="32" t="e">
        <f>IF(AND(AD28&gt;=AL28,AD28&lt;=AM28),Dropdown!$A$19,Dropdown!$A$20)</f>
        <v>#N/A</v>
      </c>
      <c r="AO28" s="32" t="e">
        <f t="shared" si="18"/>
        <v>#N/A</v>
      </c>
      <c r="AP28" s="32" t="e">
        <f t="shared" si="19"/>
        <v>#N/A</v>
      </c>
      <c r="AQ28" s="32" t="e">
        <f>IF(AND(AE28&gt;=AO28,AE28&lt;=AP28),Dropdown!$A$19,Dropdown!$A$20)</f>
        <v>#N/A</v>
      </c>
      <c r="AR28" s="32" t="e">
        <f t="shared" si="20"/>
        <v>#N/A</v>
      </c>
      <c r="AS28" s="32" t="e">
        <f t="shared" si="21"/>
        <v>#N/A</v>
      </c>
      <c r="AT28" s="32" t="e">
        <f>IF(AND(AF28&gt;=AR28,AF28&lt;=AS28),Dropdown!$A$19,Dropdown!$A$20)</f>
        <v>#N/A</v>
      </c>
      <c r="AU28" s="251" t="e">
        <f>IF(AND(AN28=Dropdown!$A$19,AQ28=Dropdown!$A$19,AT28=Dropdown!$A$19),Dropdown!$A$19,Dropdown!$A$20)</f>
        <v>#N/A</v>
      </c>
      <c r="AV28" s="73" t="str">
        <f>IF(Projektformular!AX53="",Dropdown!A$19,Projektformular!AX53)</f>
        <v>Ja</v>
      </c>
      <c r="AW28" s="252" t="str">
        <f>IF(Projektformular!AY53="","",Projektformular!AY53)</f>
        <v/>
      </c>
      <c r="AX28" s="253"/>
    </row>
    <row r="29" spans="1:50" ht="10.75" thickBot="1" x14ac:dyDescent="0.3">
      <c r="A29" s="146" t="s">
        <v>237</v>
      </c>
      <c r="B29" s="147" t="s">
        <v>213</v>
      </c>
      <c r="C29" s="178">
        <f t="shared" ref="C29:T29" si="27">C11</f>
        <v>35</v>
      </c>
      <c r="D29" s="179">
        <f t="shared" si="27"/>
        <v>55</v>
      </c>
      <c r="E29" s="178">
        <f t="shared" si="27"/>
        <v>30</v>
      </c>
      <c r="F29" s="179">
        <f t="shared" si="27"/>
        <v>45</v>
      </c>
      <c r="G29" s="178">
        <f t="shared" si="27"/>
        <v>25</v>
      </c>
      <c r="H29" s="180">
        <f t="shared" si="27"/>
        <v>40</v>
      </c>
      <c r="I29" s="178">
        <f t="shared" si="27"/>
        <v>30</v>
      </c>
      <c r="J29" s="179">
        <f t="shared" si="27"/>
        <v>50</v>
      </c>
      <c r="K29" s="178">
        <f t="shared" si="27"/>
        <v>20</v>
      </c>
      <c r="L29" s="179">
        <f t="shared" si="27"/>
        <v>40</v>
      </c>
      <c r="M29" s="178">
        <f t="shared" si="27"/>
        <v>20</v>
      </c>
      <c r="N29" s="180">
        <f t="shared" si="27"/>
        <v>35</v>
      </c>
      <c r="O29" s="178">
        <f t="shared" si="27"/>
        <v>35</v>
      </c>
      <c r="P29" s="179">
        <f t="shared" si="27"/>
        <v>60</v>
      </c>
      <c r="Q29" s="178">
        <f t="shared" si="27"/>
        <v>25</v>
      </c>
      <c r="R29" s="179">
        <f t="shared" si="27"/>
        <v>50</v>
      </c>
      <c r="S29" s="178">
        <f t="shared" si="27"/>
        <v>25</v>
      </c>
      <c r="T29" s="180">
        <f t="shared" si="27"/>
        <v>40</v>
      </c>
      <c r="W29" s="30">
        <v>10</v>
      </c>
      <c r="X29" s="31" t="e">
        <f>IF(ISBLANK(Projektformular!AV22)=TRUE,NA(),Projektformular!AV22)</f>
        <v>#N/A</v>
      </c>
      <c r="Y29" s="31" t="e">
        <f>IF(ISBLANK(Projektformular!AX22)=TRUE,NA(),Projektformular!AX22)</f>
        <v>#N/A</v>
      </c>
      <c r="Z29" s="32" t="e">
        <f>IF(ISBLANK(Projektformular!AZ22)=TRUE,NA(),Projektformular!AZ22)</f>
        <v>#N/A</v>
      </c>
      <c r="AA29" s="32" t="e">
        <f>IF(ISBLANK(Projektformular!BA22)=TRUE,NA(),Projektformular!BA22)</f>
        <v>#N/A</v>
      </c>
      <c r="AB29" s="32" t="e">
        <f>IF(ISBLANK(Projektformular!BB22)=TRUE,NA(),Projektformular!BB22)</f>
        <v>#N/A</v>
      </c>
      <c r="AC29" s="32" t="str">
        <f>IF(ISBLANK(Projektformular!BC22)=TRUE,NA(),Projektformular!BC22)</f>
        <v/>
      </c>
      <c r="AD29" s="32" t="e">
        <f t="shared" si="9"/>
        <v>#N/A</v>
      </c>
      <c r="AE29" s="32" t="e">
        <f t="shared" si="13"/>
        <v>#N/A</v>
      </c>
      <c r="AF29" s="32" t="e">
        <f t="shared" si="14"/>
        <v>#N/A</v>
      </c>
      <c r="AG29" s="48" t="e">
        <f>IF(AND(X29=Dropdown!$A$64,Y29=Dropdown!$A$71),$X$4,IF(AND(X29=Dropdown!$A$64,Y29=Dropdown!$A$72),$Y$4,IF(AND(X29=Dropdown!$A$64,Y29=Dropdown!$A$73),$Z$4,    IF(AND(X29=Dropdown!$A$65,Y29=Dropdown!$A$71),$AA$4,IF(AND(X29=Dropdown!$A$65,Y29=Dropdown!$A$72),$AB$4,IF(AND(X29=Dropdown!$A$65,Y29=Dropdown!$A$73),$AC$4,    IF(AND(X29=Dropdown!$A$66,Y29=Dropdown!$A$71),$AD$4,IF(AND(X29=Dropdown!$A$66,Y29=Dropdown!$A$72),$AE$4,IF(AND(X29=Dropdown!$A$66,Y29=Dropdown!$A$73),$AF$4,    IF(AND(X29=Dropdown!$A$67,Y29=Dropdown!$A$71),$AD$4,IF(AND(X29=Dropdown!$A$67,Y29=Dropdown!$A$72),$AE$4,IF(AND(X29=Dropdown!$A$67,Y29=Dropdown!$A$73),$AF$4,    NA()))))))))))))</f>
        <v>#N/A</v>
      </c>
      <c r="AH29" s="48" t="e">
        <f t="shared" si="15"/>
        <v>#N/A</v>
      </c>
      <c r="AI29" s="33" t="e">
        <f t="shared" si="10"/>
        <v>#N/A</v>
      </c>
      <c r="AJ29" s="33" t="e">
        <f t="shared" si="11"/>
        <v>#N/A</v>
      </c>
      <c r="AK29" s="33" t="e">
        <f t="shared" si="12"/>
        <v>#N/A</v>
      </c>
      <c r="AL29" s="32" t="e">
        <f t="shared" si="16"/>
        <v>#N/A</v>
      </c>
      <c r="AM29" s="32" t="e">
        <f t="shared" si="17"/>
        <v>#N/A</v>
      </c>
      <c r="AN29" s="32" t="e">
        <f>IF(AND(AD29&gt;=AL29,AD29&lt;=AM29),Dropdown!$A$19,Dropdown!$A$20)</f>
        <v>#N/A</v>
      </c>
      <c r="AO29" s="32" t="e">
        <f t="shared" si="18"/>
        <v>#N/A</v>
      </c>
      <c r="AP29" s="32" t="e">
        <f t="shared" si="19"/>
        <v>#N/A</v>
      </c>
      <c r="AQ29" s="32" t="e">
        <f>IF(AND(AE29&gt;=AO29,AE29&lt;=AP29),Dropdown!$A$19,Dropdown!$A$20)</f>
        <v>#N/A</v>
      </c>
      <c r="AR29" s="32" t="e">
        <f t="shared" si="20"/>
        <v>#N/A</v>
      </c>
      <c r="AS29" s="32" t="e">
        <f t="shared" si="21"/>
        <v>#N/A</v>
      </c>
      <c r="AT29" s="32" t="e">
        <f>IF(AND(AF29&gt;=AR29,AF29&lt;=AS29),Dropdown!$A$19,Dropdown!$A$20)</f>
        <v>#N/A</v>
      </c>
      <c r="AU29" s="251" t="e">
        <f>IF(AND(AN29=Dropdown!$A$19,AQ29=Dropdown!$A$19,AT29=Dropdown!$A$19),Dropdown!$A$19,Dropdown!$A$20)</f>
        <v>#N/A</v>
      </c>
      <c r="AV29" s="73" t="str">
        <f>IF(Projektformular!AX54="",Dropdown!A$19,Projektformular!AX54)</f>
        <v>Ja</v>
      </c>
      <c r="AW29" s="252" t="str">
        <f>IF(Projektformular!AY54="","",Projektformular!AY54)</f>
        <v/>
      </c>
      <c r="AX29" s="253"/>
    </row>
    <row r="30" spans="1:50" ht="10.75" thickBot="1" x14ac:dyDescent="0.3">
      <c r="A30" s="112" t="s">
        <v>238</v>
      </c>
      <c r="B30" s="113" t="s">
        <v>211</v>
      </c>
      <c r="C30" s="178">
        <f t="shared" ref="C30:T30" si="28">C12</f>
        <v>1700</v>
      </c>
      <c r="D30" s="179">
        <f t="shared" si="28"/>
        <v>2200</v>
      </c>
      <c r="E30" s="178">
        <f t="shared" si="28"/>
        <v>1400</v>
      </c>
      <c r="F30" s="179">
        <f t="shared" si="28"/>
        <v>1700</v>
      </c>
      <c r="G30" s="178">
        <f t="shared" si="28"/>
        <v>1400</v>
      </c>
      <c r="H30" s="180">
        <f t="shared" si="28"/>
        <v>1800</v>
      </c>
      <c r="I30" s="178">
        <f t="shared" si="28"/>
        <v>1400</v>
      </c>
      <c r="J30" s="179">
        <f t="shared" si="28"/>
        <v>1900</v>
      </c>
      <c r="K30" s="178">
        <f t="shared" si="28"/>
        <v>1100</v>
      </c>
      <c r="L30" s="179">
        <f t="shared" si="28"/>
        <v>1400</v>
      </c>
      <c r="M30" s="178">
        <f t="shared" si="28"/>
        <v>900</v>
      </c>
      <c r="N30" s="180">
        <f t="shared" si="28"/>
        <v>1200</v>
      </c>
      <c r="O30" s="178">
        <f t="shared" si="28"/>
        <v>1300</v>
      </c>
      <c r="P30" s="179">
        <f t="shared" si="28"/>
        <v>1600</v>
      </c>
      <c r="Q30" s="178">
        <f t="shared" si="28"/>
        <v>1000</v>
      </c>
      <c r="R30" s="179">
        <f t="shared" si="28"/>
        <v>1300</v>
      </c>
      <c r="S30" s="178">
        <f t="shared" si="28"/>
        <v>800</v>
      </c>
      <c r="T30" s="180">
        <f t="shared" si="28"/>
        <v>1100</v>
      </c>
      <c r="W30" s="30">
        <v>11</v>
      </c>
      <c r="X30" s="31" t="e">
        <f>IF(ISBLANK(Projektformular!AV23)=TRUE,NA(),Projektformular!AV23)</f>
        <v>#N/A</v>
      </c>
      <c r="Y30" s="31" t="e">
        <f>IF(ISBLANK(Projektformular!AX23)=TRUE,NA(),Projektformular!AX23)</f>
        <v>#N/A</v>
      </c>
      <c r="Z30" s="32" t="e">
        <f>IF(ISBLANK(Projektformular!AZ23)=TRUE,NA(),Projektformular!AZ23)</f>
        <v>#N/A</v>
      </c>
      <c r="AA30" s="32" t="e">
        <f>IF(ISBLANK(Projektformular!BA23)=TRUE,NA(),Projektformular!BA23)</f>
        <v>#N/A</v>
      </c>
      <c r="AB30" s="32" t="e">
        <f>IF(ISBLANK(Projektformular!BB23)=TRUE,NA(),Projektformular!BB23)</f>
        <v>#N/A</v>
      </c>
      <c r="AC30" s="32" t="str">
        <f>IF(ISBLANK(Projektformular!BC23)=TRUE,NA(),Projektformular!BC23)</f>
        <v/>
      </c>
      <c r="AD30" s="32" t="e">
        <f t="shared" si="9"/>
        <v>#N/A</v>
      </c>
      <c r="AE30" s="32" t="e">
        <f t="shared" si="13"/>
        <v>#N/A</v>
      </c>
      <c r="AF30" s="32" t="e">
        <f t="shared" si="14"/>
        <v>#N/A</v>
      </c>
      <c r="AG30" s="48" t="e">
        <f>IF(AND(X30=Dropdown!$A$64,Y30=Dropdown!$A$71),$X$4,IF(AND(X30=Dropdown!$A$64,Y30=Dropdown!$A$72),$Y$4,IF(AND(X30=Dropdown!$A$64,Y30=Dropdown!$A$73),$Z$4,    IF(AND(X30=Dropdown!$A$65,Y30=Dropdown!$A$71),$AA$4,IF(AND(X30=Dropdown!$A$65,Y30=Dropdown!$A$72),$AB$4,IF(AND(X30=Dropdown!$A$65,Y30=Dropdown!$A$73),$AC$4,    IF(AND(X30=Dropdown!$A$66,Y30=Dropdown!$A$71),$AD$4,IF(AND(X30=Dropdown!$A$66,Y30=Dropdown!$A$72),$AE$4,IF(AND(X30=Dropdown!$A$66,Y30=Dropdown!$A$73),$AF$4,    IF(AND(X30=Dropdown!$A$67,Y30=Dropdown!$A$71),$AD$4,IF(AND(X30=Dropdown!$A$67,Y30=Dropdown!$A$72),$AE$4,IF(AND(X30=Dropdown!$A$67,Y30=Dropdown!$A$73),$AF$4,    NA()))))))))))))</f>
        <v>#N/A</v>
      </c>
      <c r="AH30" s="48" t="e">
        <f t="shared" si="15"/>
        <v>#N/A</v>
      </c>
      <c r="AI30" s="33" t="e">
        <f t="shared" si="10"/>
        <v>#N/A</v>
      </c>
      <c r="AJ30" s="33" t="e">
        <f t="shared" si="11"/>
        <v>#N/A</v>
      </c>
      <c r="AK30" s="33" t="e">
        <f t="shared" si="12"/>
        <v>#N/A</v>
      </c>
      <c r="AL30" s="32" t="e">
        <f t="shared" si="16"/>
        <v>#N/A</v>
      </c>
      <c r="AM30" s="32" t="e">
        <f t="shared" si="17"/>
        <v>#N/A</v>
      </c>
      <c r="AN30" s="32" t="e">
        <f>IF(AND(AD30&gt;=AL30,AD30&lt;=AM30),Dropdown!$A$19,Dropdown!$A$20)</f>
        <v>#N/A</v>
      </c>
      <c r="AO30" s="32" t="e">
        <f t="shared" si="18"/>
        <v>#N/A</v>
      </c>
      <c r="AP30" s="32" t="e">
        <f t="shared" si="19"/>
        <v>#N/A</v>
      </c>
      <c r="AQ30" s="32" t="e">
        <f>IF(AND(AE30&gt;=AO30,AE30&lt;=AP30),Dropdown!$A$19,Dropdown!$A$20)</f>
        <v>#N/A</v>
      </c>
      <c r="AR30" s="32" t="e">
        <f t="shared" si="20"/>
        <v>#N/A</v>
      </c>
      <c r="AS30" s="32" t="e">
        <f t="shared" si="21"/>
        <v>#N/A</v>
      </c>
      <c r="AT30" s="32" t="e">
        <f>IF(AND(AF30&gt;=AR30,AF30&lt;=AS30),Dropdown!$A$19,Dropdown!$A$20)</f>
        <v>#N/A</v>
      </c>
      <c r="AU30" s="251" t="e">
        <f>IF(AND(AN30=Dropdown!$A$19,AQ30=Dropdown!$A$19,AT30=Dropdown!$A$19),Dropdown!$A$19,Dropdown!$A$20)</f>
        <v>#N/A</v>
      </c>
      <c r="AV30" s="73" t="str">
        <f>IF(Projektformular!AX55="",Dropdown!A$19,Projektformular!AX55)</f>
        <v>Ja</v>
      </c>
      <c r="AW30" s="252" t="str">
        <f>IF(Projektformular!AY55="","",Projektformular!AY55)</f>
        <v/>
      </c>
      <c r="AX30" s="253"/>
    </row>
    <row r="31" spans="1:50" ht="10.75" thickBot="1" x14ac:dyDescent="0.3">
      <c r="A31" s="132" t="s">
        <v>239</v>
      </c>
      <c r="B31" s="133" t="s">
        <v>212</v>
      </c>
      <c r="C31" s="178">
        <f t="shared" ref="C31:T31" si="29">C13</f>
        <v>70</v>
      </c>
      <c r="D31" s="179">
        <f t="shared" si="29"/>
        <v>105</v>
      </c>
      <c r="E31" s="178">
        <f t="shared" si="29"/>
        <v>45</v>
      </c>
      <c r="F31" s="179">
        <f t="shared" si="29"/>
        <v>70</v>
      </c>
      <c r="G31" s="178">
        <f t="shared" si="29"/>
        <v>40</v>
      </c>
      <c r="H31" s="180">
        <f t="shared" si="29"/>
        <v>55</v>
      </c>
      <c r="I31" s="178">
        <f t="shared" si="29"/>
        <v>50</v>
      </c>
      <c r="J31" s="179">
        <f t="shared" si="29"/>
        <v>85</v>
      </c>
      <c r="K31" s="178">
        <f t="shared" si="29"/>
        <v>25</v>
      </c>
      <c r="L31" s="179">
        <f t="shared" si="29"/>
        <v>50</v>
      </c>
      <c r="M31" s="178">
        <f t="shared" si="29"/>
        <v>20</v>
      </c>
      <c r="N31" s="180">
        <f t="shared" si="29"/>
        <v>35</v>
      </c>
      <c r="O31" s="178">
        <f t="shared" si="29"/>
        <v>50</v>
      </c>
      <c r="P31" s="179">
        <f t="shared" si="29"/>
        <v>85</v>
      </c>
      <c r="Q31" s="178">
        <f t="shared" si="29"/>
        <v>25</v>
      </c>
      <c r="R31" s="179">
        <f t="shared" si="29"/>
        <v>50</v>
      </c>
      <c r="S31" s="178">
        <f t="shared" si="29"/>
        <v>20</v>
      </c>
      <c r="T31" s="180">
        <f t="shared" si="29"/>
        <v>35</v>
      </c>
      <c r="W31" s="30">
        <v>12</v>
      </c>
      <c r="X31" s="31" t="e">
        <f>IF(ISBLANK(Projektformular!AV24)=TRUE,NA(),Projektformular!AV24)</f>
        <v>#N/A</v>
      </c>
      <c r="Y31" s="31" t="e">
        <f>IF(ISBLANK(Projektformular!AX24)=TRUE,NA(),Projektformular!AX24)</f>
        <v>#N/A</v>
      </c>
      <c r="Z31" s="32" t="e">
        <f>IF(ISBLANK(Projektformular!AZ24)=TRUE,NA(),Projektformular!AZ24)</f>
        <v>#N/A</v>
      </c>
      <c r="AA31" s="32" t="e">
        <f>IF(ISBLANK(Projektformular!BA24)=TRUE,NA(),Projektformular!BA24)</f>
        <v>#N/A</v>
      </c>
      <c r="AB31" s="32" t="e">
        <f>IF(ISBLANK(Projektformular!BB24)=TRUE,NA(),Projektformular!BB24)</f>
        <v>#N/A</v>
      </c>
      <c r="AC31" s="32" t="str">
        <f>IF(ISBLANK(Projektformular!BC24)=TRUE,NA(),Projektformular!BC24)</f>
        <v/>
      </c>
      <c r="AD31" s="32" t="e">
        <f t="shared" si="9"/>
        <v>#N/A</v>
      </c>
      <c r="AE31" s="32" t="e">
        <f t="shared" si="13"/>
        <v>#N/A</v>
      </c>
      <c r="AF31" s="32" t="e">
        <f t="shared" si="14"/>
        <v>#N/A</v>
      </c>
      <c r="AG31" s="48" t="e">
        <f>IF(AND(X31=Dropdown!$A$64,Y31=Dropdown!$A$71),$X$4,IF(AND(X31=Dropdown!$A$64,Y31=Dropdown!$A$72),$Y$4,IF(AND(X31=Dropdown!$A$64,Y31=Dropdown!$A$73),$Z$4,    IF(AND(X31=Dropdown!$A$65,Y31=Dropdown!$A$71),$AA$4,IF(AND(X31=Dropdown!$A$65,Y31=Dropdown!$A$72),$AB$4,IF(AND(X31=Dropdown!$A$65,Y31=Dropdown!$A$73),$AC$4,    IF(AND(X31=Dropdown!$A$66,Y31=Dropdown!$A$71),$AD$4,IF(AND(X31=Dropdown!$A$66,Y31=Dropdown!$A$72),$AE$4,IF(AND(X31=Dropdown!$A$66,Y31=Dropdown!$A$73),$AF$4,    IF(AND(X31=Dropdown!$A$67,Y31=Dropdown!$A$71),$AD$4,IF(AND(X31=Dropdown!$A$67,Y31=Dropdown!$A$72),$AE$4,IF(AND(X31=Dropdown!$A$67,Y31=Dropdown!$A$73),$AF$4,    NA()))))))))))))</f>
        <v>#N/A</v>
      </c>
      <c r="AH31" s="48" t="e">
        <f t="shared" si="15"/>
        <v>#N/A</v>
      </c>
      <c r="AI31" s="33" t="e">
        <f t="shared" si="10"/>
        <v>#N/A</v>
      </c>
      <c r="AJ31" s="33" t="e">
        <f t="shared" si="11"/>
        <v>#N/A</v>
      </c>
      <c r="AK31" s="33" t="e">
        <f t="shared" si="12"/>
        <v>#N/A</v>
      </c>
      <c r="AL31" s="32" t="e">
        <f t="shared" si="16"/>
        <v>#N/A</v>
      </c>
      <c r="AM31" s="32" t="e">
        <f t="shared" si="17"/>
        <v>#N/A</v>
      </c>
      <c r="AN31" s="32" t="e">
        <f>IF(AND(AD31&gt;=AL31,AD31&lt;=AM31),Dropdown!$A$19,Dropdown!$A$20)</f>
        <v>#N/A</v>
      </c>
      <c r="AO31" s="32" t="e">
        <f t="shared" si="18"/>
        <v>#N/A</v>
      </c>
      <c r="AP31" s="32" t="e">
        <f t="shared" si="19"/>
        <v>#N/A</v>
      </c>
      <c r="AQ31" s="32" t="e">
        <f>IF(AND(AE31&gt;=AO31,AE31&lt;=AP31),Dropdown!$A$19,Dropdown!$A$20)</f>
        <v>#N/A</v>
      </c>
      <c r="AR31" s="32" t="e">
        <f t="shared" si="20"/>
        <v>#N/A</v>
      </c>
      <c r="AS31" s="32" t="e">
        <f t="shared" si="21"/>
        <v>#N/A</v>
      </c>
      <c r="AT31" s="32" t="e">
        <f>IF(AND(AF31&gt;=AR31,AF31&lt;=AS31),Dropdown!$A$19,Dropdown!$A$20)</f>
        <v>#N/A</v>
      </c>
      <c r="AU31" s="251" t="e">
        <f>IF(AND(AN31=Dropdown!$A$19,AQ31=Dropdown!$A$19,AT31=Dropdown!$A$19),Dropdown!$A$19,Dropdown!$A$20)</f>
        <v>#N/A</v>
      </c>
      <c r="AV31" s="73" t="str">
        <f>IF(Projektformular!AX56="",Dropdown!A$19,Projektformular!AX56)</f>
        <v>Ja</v>
      </c>
      <c r="AW31" s="252" t="str">
        <f>IF(Projektformular!AY56="","",Projektformular!AY56)</f>
        <v/>
      </c>
      <c r="AX31" s="253"/>
    </row>
    <row r="32" spans="1:50" ht="10.75" thickBot="1" x14ac:dyDescent="0.3">
      <c r="A32" s="146" t="s">
        <v>240</v>
      </c>
      <c r="B32" s="147" t="s">
        <v>213</v>
      </c>
      <c r="C32" s="181">
        <f t="shared" ref="C32:T32" si="30">C14</f>
        <v>35</v>
      </c>
      <c r="D32" s="182">
        <f t="shared" si="30"/>
        <v>55</v>
      </c>
      <c r="E32" s="181">
        <f t="shared" si="30"/>
        <v>30</v>
      </c>
      <c r="F32" s="182">
        <f t="shared" si="30"/>
        <v>45</v>
      </c>
      <c r="G32" s="181">
        <f t="shared" si="30"/>
        <v>25</v>
      </c>
      <c r="H32" s="183">
        <f t="shared" si="30"/>
        <v>40</v>
      </c>
      <c r="I32" s="181">
        <f t="shared" si="30"/>
        <v>30</v>
      </c>
      <c r="J32" s="182">
        <f t="shared" si="30"/>
        <v>50</v>
      </c>
      <c r="K32" s="181">
        <f t="shared" si="30"/>
        <v>20</v>
      </c>
      <c r="L32" s="182">
        <f t="shared" si="30"/>
        <v>40</v>
      </c>
      <c r="M32" s="181">
        <f t="shared" si="30"/>
        <v>20</v>
      </c>
      <c r="N32" s="183">
        <f t="shared" si="30"/>
        <v>35</v>
      </c>
      <c r="O32" s="181">
        <f t="shared" si="30"/>
        <v>35</v>
      </c>
      <c r="P32" s="182">
        <f t="shared" si="30"/>
        <v>60</v>
      </c>
      <c r="Q32" s="181">
        <f t="shared" si="30"/>
        <v>25</v>
      </c>
      <c r="R32" s="182">
        <f t="shared" si="30"/>
        <v>50</v>
      </c>
      <c r="S32" s="181">
        <f t="shared" si="30"/>
        <v>25</v>
      </c>
      <c r="T32" s="183">
        <f t="shared" si="30"/>
        <v>40</v>
      </c>
      <c r="W32" s="30">
        <v>13</v>
      </c>
      <c r="X32" s="31" t="e">
        <f>IF(ISBLANK(Projektformular!AV25)=TRUE,NA(),Projektformular!AV25)</f>
        <v>#N/A</v>
      </c>
      <c r="Y32" s="31" t="e">
        <f>IF(ISBLANK(Projektformular!AX25)=TRUE,NA(),Projektformular!AX25)</f>
        <v>#N/A</v>
      </c>
      <c r="Z32" s="32" t="e">
        <f>IF(ISBLANK(Projektformular!AZ25)=TRUE,NA(),Projektformular!AZ25)</f>
        <v>#N/A</v>
      </c>
      <c r="AA32" s="32" t="e">
        <f>IF(ISBLANK(Projektformular!BA25)=TRUE,NA(),Projektformular!BA25)</f>
        <v>#N/A</v>
      </c>
      <c r="AB32" s="32" t="e">
        <f>IF(ISBLANK(Projektformular!BB25)=TRUE,NA(),Projektformular!BB25)</f>
        <v>#N/A</v>
      </c>
      <c r="AC32" s="32" t="str">
        <f>IF(ISBLANK(Projektformular!BC25)=TRUE,NA(),Projektformular!BC25)</f>
        <v/>
      </c>
      <c r="AD32" s="32" t="e">
        <f t="shared" si="9"/>
        <v>#N/A</v>
      </c>
      <c r="AE32" s="32" t="e">
        <f t="shared" si="13"/>
        <v>#N/A</v>
      </c>
      <c r="AF32" s="32" t="e">
        <f t="shared" si="14"/>
        <v>#N/A</v>
      </c>
      <c r="AG32" s="48" t="e">
        <f>IF(AND(X32=Dropdown!$A$64,Y32=Dropdown!$A$71),$X$4,IF(AND(X32=Dropdown!$A$64,Y32=Dropdown!$A$72),$Y$4,IF(AND(X32=Dropdown!$A$64,Y32=Dropdown!$A$73),$Z$4,    IF(AND(X32=Dropdown!$A$65,Y32=Dropdown!$A$71),$AA$4,IF(AND(X32=Dropdown!$A$65,Y32=Dropdown!$A$72),$AB$4,IF(AND(X32=Dropdown!$A$65,Y32=Dropdown!$A$73),$AC$4,    IF(AND(X32=Dropdown!$A$66,Y32=Dropdown!$A$71),$AD$4,IF(AND(X32=Dropdown!$A$66,Y32=Dropdown!$A$72),$AE$4,IF(AND(X32=Dropdown!$A$66,Y32=Dropdown!$A$73),$AF$4,    IF(AND(X32=Dropdown!$A$67,Y32=Dropdown!$A$71),$AD$4,IF(AND(X32=Dropdown!$A$67,Y32=Dropdown!$A$72),$AE$4,IF(AND(X32=Dropdown!$A$67,Y32=Dropdown!$A$73),$AF$4,    NA()))))))))))))</f>
        <v>#N/A</v>
      </c>
      <c r="AH32" s="48" t="e">
        <f t="shared" si="15"/>
        <v>#N/A</v>
      </c>
      <c r="AI32" s="33" t="e">
        <f t="shared" si="10"/>
        <v>#N/A</v>
      </c>
      <c r="AJ32" s="33" t="e">
        <f t="shared" si="11"/>
        <v>#N/A</v>
      </c>
      <c r="AK32" s="33" t="e">
        <f t="shared" si="12"/>
        <v>#N/A</v>
      </c>
      <c r="AL32" s="32" t="e">
        <f t="shared" si="16"/>
        <v>#N/A</v>
      </c>
      <c r="AM32" s="32" t="e">
        <f t="shared" si="17"/>
        <v>#N/A</v>
      </c>
      <c r="AN32" s="32" t="e">
        <f>IF(AND(AD32&gt;=AL32,AD32&lt;=AM32),Dropdown!$A$19,Dropdown!$A$20)</f>
        <v>#N/A</v>
      </c>
      <c r="AO32" s="32" t="e">
        <f t="shared" si="18"/>
        <v>#N/A</v>
      </c>
      <c r="AP32" s="32" t="e">
        <f t="shared" si="19"/>
        <v>#N/A</v>
      </c>
      <c r="AQ32" s="32" t="e">
        <f>IF(AND(AE32&gt;=AO32,AE32&lt;=AP32),Dropdown!$A$19,Dropdown!$A$20)</f>
        <v>#N/A</v>
      </c>
      <c r="AR32" s="32" t="e">
        <f t="shared" si="20"/>
        <v>#N/A</v>
      </c>
      <c r="AS32" s="32" t="e">
        <f t="shared" si="21"/>
        <v>#N/A</v>
      </c>
      <c r="AT32" s="32" t="e">
        <f>IF(AND(AF32&gt;=AR32,AF32&lt;=AS32),Dropdown!$A$19,Dropdown!$A$20)</f>
        <v>#N/A</v>
      </c>
      <c r="AU32" s="251" t="e">
        <f>IF(AND(AN32=Dropdown!$A$19,AQ32=Dropdown!$A$19,AT32=Dropdown!$A$19),Dropdown!$A$19,Dropdown!$A$20)</f>
        <v>#N/A</v>
      </c>
      <c r="AV32" s="73" t="str">
        <f>IF(Projektformular!AX57="",Dropdown!A$19,Projektformular!AX57)</f>
        <v>Ja</v>
      </c>
      <c r="AW32" s="252" t="str">
        <f>IF(Projektformular!AY57="","",Projektformular!AY57)</f>
        <v/>
      </c>
      <c r="AX32" s="253"/>
    </row>
    <row r="33" spans="1:50" x14ac:dyDescent="0.25">
      <c r="W33" s="30">
        <v>14</v>
      </c>
      <c r="X33" s="31" t="e">
        <f>IF(ISBLANK(Projektformular!AV26)=TRUE,NA(),Projektformular!AV26)</f>
        <v>#N/A</v>
      </c>
      <c r="Y33" s="31" t="e">
        <f>IF(ISBLANK(Projektformular!AX26)=TRUE,NA(),Projektformular!AX26)</f>
        <v>#N/A</v>
      </c>
      <c r="Z33" s="32" t="e">
        <f>IF(ISBLANK(Projektformular!AZ26)=TRUE,NA(),Projektformular!AZ26)</f>
        <v>#N/A</v>
      </c>
      <c r="AA33" s="32" t="e">
        <f>IF(ISBLANK(Projektformular!BA26)=TRUE,NA(),Projektformular!BA26)</f>
        <v>#N/A</v>
      </c>
      <c r="AB33" s="32" t="e">
        <f>IF(ISBLANK(Projektformular!BB26)=TRUE,NA(),Projektformular!BB26)</f>
        <v>#N/A</v>
      </c>
      <c r="AC33" s="32" t="str">
        <f>IF(ISBLANK(Projektformular!BC26)=TRUE,NA(),Projektformular!BC26)</f>
        <v/>
      </c>
      <c r="AD33" s="32" t="e">
        <f t="shared" si="9"/>
        <v>#N/A</v>
      </c>
      <c r="AE33" s="32" t="e">
        <f t="shared" si="13"/>
        <v>#N/A</v>
      </c>
      <c r="AF33" s="32" t="e">
        <f t="shared" si="14"/>
        <v>#N/A</v>
      </c>
      <c r="AG33" s="48" t="e">
        <f>IF(AND(X33=Dropdown!$A$64,Y33=Dropdown!$A$71),$X$4,IF(AND(X33=Dropdown!$A$64,Y33=Dropdown!$A$72),$Y$4,IF(AND(X33=Dropdown!$A$64,Y33=Dropdown!$A$73),$Z$4,    IF(AND(X33=Dropdown!$A$65,Y33=Dropdown!$A$71),$AA$4,IF(AND(X33=Dropdown!$A$65,Y33=Dropdown!$A$72),$AB$4,IF(AND(X33=Dropdown!$A$65,Y33=Dropdown!$A$73),$AC$4,    IF(AND(X33=Dropdown!$A$66,Y33=Dropdown!$A$71),$AD$4,IF(AND(X33=Dropdown!$A$66,Y33=Dropdown!$A$72),$AE$4,IF(AND(X33=Dropdown!$A$66,Y33=Dropdown!$A$73),$AF$4,    IF(AND(X33=Dropdown!$A$67,Y33=Dropdown!$A$71),$AD$4,IF(AND(X33=Dropdown!$A$67,Y33=Dropdown!$A$72),$AE$4,IF(AND(X33=Dropdown!$A$67,Y33=Dropdown!$A$73),$AF$4,    NA()))))))))))))</f>
        <v>#N/A</v>
      </c>
      <c r="AH33" s="48" t="e">
        <f t="shared" si="15"/>
        <v>#N/A</v>
      </c>
      <c r="AI33" s="33" t="e">
        <f t="shared" si="10"/>
        <v>#N/A</v>
      </c>
      <c r="AJ33" s="33" t="e">
        <f t="shared" si="11"/>
        <v>#N/A</v>
      </c>
      <c r="AK33" s="33" t="e">
        <f t="shared" si="12"/>
        <v>#N/A</v>
      </c>
      <c r="AL33" s="32" t="e">
        <f t="shared" si="16"/>
        <v>#N/A</v>
      </c>
      <c r="AM33" s="32" t="e">
        <f t="shared" si="17"/>
        <v>#N/A</v>
      </c>
      <c r="AN33" s="32" t="e">
        <f>IF(AND(AD33&gt;=AL33,AD33&lt;=AM33),Dropdown!$A$19,Dropdown!$A$20)</f>
        <v>#N/A</v>
      </c>
      <c r="AO33" s="32" t="e">
        <f t="shared" si="18"/>
        <v>#N/A</v>
      </c>
      <c r="AP33" s="32" t="e">
        <f t="shared" si="19"/>
        <v>#N/A</v>
      </c>
      <c r="AQ33" s="32" t="e">
        <f>IF(AND(AE33&gt;=AO33,AE33&lt;=AP33),Dropdown!$A$19,Dropdown!$A$20)</f>
        <v>#N/A</v>
      </c>
      <c r="AR33" s="32" t="e">
        <f t="shared" si="20"/>
        <v>#N/A</v>
      </c>
      <c r="AS33" s="32" t="e">
        <f t="shared" si="21"/>
        <v>#N/A</v>
      </c>
      <c r="AT33" s="32" t="e">
        <f>IF(AND(AF33&gt;=AR33,AF33&lt;=AS33),Dropdown!$A$19,Dropdown!$A$20)</f>
        <v>#N/A</v>
      </c>
      <c r="AU33" s="251" t="e">
        <f>IF(AND(AN33=Dropdown!$A$19,AQ33=Dropdown!$A$19,AT33=Dropdown!$A$19),Dropdown!$A$19,Dropdown!$A$20)</f>
        <v>#N/A</v>
      </c>
      <c r="AV33" s="73" t="str">
        <f>IF(Projektformular!AX58="",Dropdown!A$19,Projektformular!AX58)</f>
        <v>Ja</v>
      </c>
      <c r="AW33" s="252" t="str">
        <f>IF(Projektformular!AY58="","",Projektformular!AY58)</f>
        <v/>
      </c>
      <c r="AX33" s="253"/>
    </row>
    <row r="34" spans="1:50" x14ac:dyDescent="0.25">
      <c r="W34" s="30">
        <v>15</v>
      </c>
      <c r="X34" s="31" t="e">
        <f>IF(ISBLANK(Projektformular!AV27)=TRUE,NA(),Projektformular!AV27)</f>
        <v>#N/A</v>
      </c>
      <c r="Y34" s="31" t="e">
        <f>IF(ISBLANK(Projektformular!AX27)=TRUE,NA(),Projektformular!AX27)</f>
        <v>#N/A</v>
      </c>
      <c r="Z34" s="32" t="e">
        <f>IF(ISBLANK(Projektformular!AZ27)=TRUE,NA(),Projektformular!AZ27)</f>
        <v>#N/A</v>
      </c>
      <c r="AA34" s="32" t="e">
        <f>IF(ISBLANK(Projektformular!BA27)=TRUE,NA(),Projektformular!BA27)</f>
        <v>#N/A</v>
      </c>
      <c r="AB34" s="32" t="e">
        <f>IF(ISBLANK(Projektformular!BB27)=TRUE,NA(),Projektformular!BB27)</f>
        <v>#N/A</v>
      </c>
      <c r="AC34" s="32" t="str">
        <f>IF(ISBLANK(Projektformular!BC27)=TRUE,NA(),Projektformular!BC27)</f>
        <v/>
      </c>
      <c r="AD34" s="32" t="e">
        <f t="shared" si="9"/>
        <v>#N/A</v>
      </c>
      <c r="AE34" s="32" t="e">
        <f t="shared" si="13"/>
        <v>#N/A</v>
      </c>
      <c r="AF34" s="32" t="e">
        <f t="shared" si="14"/>
        <v>#N/A</v>
      </c>
      <c r="AG34" s="48" t="e">
        <f>IF(AND(X34=Dropdown!$A$64,Y34=Dropdown!$A$71),$X$4,IF(AND(X34=Dropdown!$A$64,Y34=Dropdown!$A$72),$Y$4,IF(AND(X34=Dropdown!$A$64,Y34=Dropdown!$A$73),$Z$4,    IF(AND(X34=Dropdown!$A$65,Y34=Dropdown!$A$71),$AA$4,IF(AND(X34=Dropdown!$A$65,Y34=Dropdown!$A$72),$AB$4,IF(AND(X34=Dropdown!$A$65,Y34=Dropdown!$A$73),$AC$4,    IF(AND(X34=Dropdown!$A$66,Y34=Dropdown!$A$71),$AD$4,IF(AND(X34=Dropdown!$A$66,Y34=Dropdown!$A$72),$AE$4,IF(AND(X34=Dropdown!$A$66,Y34=Dropdown!$A$73),$AF$4,    IF(AND(X34=Dropdown!$A$67,Y34=Dropdown!$A$71),$AD$4,IF(AND(X34=Dropdown!$A$67,Y34=Dropdown!$A$72),$AE$4,IF(AND(X34=Dropdown!$A$67,Y34=Dropdown!$A$73),$AF$4,    NA()))))))))))))</f>
        <v>#N/A</v>
      </c>
      <c r="AH34" s="48" t="e">
        <f t="shared" si="15"/>
        <v>#N/A</v>
      </c>
      <c r="AI34" s="33" t="e">
        <f t="shared" si="10"/>
        <v>#N/A</v>
      </c>
      <c r="AJ34" s="33" t="e">
        <f t="shared" si="11"/>
        <v>#N/A</v>
      </c>
      <c r="AK34" s="33" t="e">
        <f t="shared" si="12"/>
        <v>#N/A</v>
      </c>
      <c r="AL34" s="32" t="e">
        <f t="shared" si="16"/>
        <v>#N/A</v>
      </c>
      <c r="AM34" s="32" t="e">
        <f t="shared" si="17"/>
        <v>#N/A</v>
      </c>
      <c r="AN34" s="32" t="e">
        <f>IF(AND(AD34&gt;=AL34,AD34&lt;=AM34),Dropdown!$A$19,Dropdown!$A$20)</f>
        <v>#N/A</v>
      </c>
      <c r="AO34" s="32" t="e">
        <f t="shared" si="18"/>
        <v>#N/A</v>
      </c>
      <c r="AP34" s="32" t="e">
        <f t="shared" si="19"/>
        <v>#N/A</v>
      </c>
      <c r="AQ34" s="32" t="e">
        <f>IF(AND(AE34&gt;=AO34,AE34&lt;=AP34),Dropdown!$A$19,Dropdown!$A$20)</f>
        <v>#N/A</v>
      </c>
      <c r="AR34" s="32" t="e">
        <f t="shared" si="20"/>
        <v>#N/A</v>
      </c>
      <c r="AS34" s="32" t="e">
        <f t="shared" si="21"/>
        <v>#N/A</v>
      </c>
      <c r="AT34" s="32" t="e">
        <f>IF(AND(AF34&gt;=AR34,AF34&lt;=AS34),Dropdown!$A$19,Dropdown!$A$20)</f>
        <v>#N/A</v>
      </c>
      <c r="AU34" s="251" t="e">
        <f>IF(AND(AN34=Dropdown!$A$19,AQ34=Dropdown!$A$19,AT34=Dropdown!$A$19),Dropdown!$A$19,Dropdown!$A$20)</f>
        <v>#N/A</v>
      </c>
      <c r="AV34" s="73" t="str">
        <f>IF(Projektformular!AX59="",Dropdown!A$19,Projektformular!AX59)</f>
        <v>Ja</v>
      </c>
      <c r="AW34" s="252" t="str">
        <f>IF(Projektformular!AY59="","",Projektformular!AY59)</f>
        <v/>
      </c>
      <c r="AX34" s="253"/>
    </row>
    <row r="35" spans="1:50" x14ac:dyDescent="0.25">
      <c r="W35" s="30">
        <v>16</v>
      </c>
      <c r="X35" s="31" t="e">
        <f>IF(ISBLANK(Projektformular!AV28)=TRUE,NA(),Projektformular!AV28)</f>
        <v>#N/A</v>
      </c>
      <c r="Y35" s="31" t="e">
        <f>IF(ISBLANK(Projektformular!AX28)=TRUE,NA(),Projektformular!AX28)</f>
        <v>#N/A</v>
      </c>
      <c r="Z35" s="32" t="e">
        <f>IF(ISBLANK(Projektformular!AZ28)=TRUE,NA(),Projektformular!AZ28)</f>
        <v>#N/A</v>
      </c>
      <c r="AA35" s="32" t="e">
        <f>IF(ISBLANK(Projektformular!BA28)=TRUE,NA(),Projektformular!BA28)</f>
        <v>#N/A</v>
      </c>
      <c r="AB35" s="32" t="e">
        <f>IF(ISBLANK(Projektformular!BB28)=TRUE,NA(),Projektformular!BB28)</f>
        <v>#N/A</v>
      </c>
      <c r="AC35" s="32" t="str">
        <f>IF(ISBLANK(Projektformular!BC28)=TRUE,NA(),Projektformular!BC28)</f>
        <v/>
      </c>
      <c r="AD35" s="32" t="e">
        <f t="shared" si="9"/>
        <v>#N/A</v>
      </c>
      <c r="AE35" s="32" t="e">
        <f t="shared" si="13"/>
        <v>#N/A</v>
      </c>
      <c r="AF35" s="32" t="e">
        <f t="shared" si="14"/>
        <v>#N/A</v>
      </c>
      <c r="AG35" s="48" t="e">
        <f>IF(AND(X35=Dropdown!$A$64,Y35=Dropdown!$A$71),$X$4,IF(AND(X35=Dropdown!$A$64,Y35=Dropdown!$A$72),$Y$4,IF(AND(X35=Dropdown!$A$64,Y35=Dropdown!$A$73),$Z$4,    IF(AND(X35=Dropdown!$A$65,Y35=Dropdown!$A$71),$AA$4,IF(AND(X35=Dropdown!$A$65,Y35=Dropdown!$A$72),$AB$4,IF(AND(X35=Dropdown!$A$65,Y35=Dropdown!$A$73),$AC$4,    IF(AND(X35=Dropdown!$A$66,Y35=Dropdown!$A$71),$AD$4,IF(AND(X35=Dropdown!$A$66,Y35=Dropdown!$A$72),$AE$4,IF(AND(X35=Dropdown!$A$66,Y35=Dropdown!$A$73),$AF$4,    IF(AND(X35=Dropdown!$A$67,Y35=Dropdown!$A$71),$AD$4,IF(AND(X35=Dropdown!$A$67,Y35=Dropdown!$A$72),$AE$4,IF(AND(X35=Dropdown!$A$67,Y35=Dropdown!$A$73),$AF$4,    NA()))))))))))))</f>
        <v>#N/A</v>
      </c>
      <c r="AH35" s="48" t="e">
        <f t="shared" si="15"/>
        <v>#N/A</v>
      </c>
      <c r="AI35" s="33" t="e">
        <f t="shared" si="10"/>
        <v>#N/A</v>
      </c>
      <c r="AJ35" s="33" t="e">
        <f t="shared" si="11"/>
        <v>#N/A</v>
      </c>
      <c r="AK35" s="33" t="e">
        <f t="shared" si="12"/>
        <v>#N/A</v>
      </c>
      <c r="AL35" s="32" t="e">
        <f t="shared" si="16"/>
        <v>#N/A</v>
      </c>
      <c r="AM35" s="32" t="e">
        <f t="shared" si="17"/>
        <v>#N/A</v>
      </c>
      <c r="AN35" s="32" t="e">
        <f>IF(AND(AD35&gt;=AL35,AD35&lt;=AM35),Dropdown!$A$19,Dropdown!$A$20)</f>
        <v>#N/A</v>
      </c>
      <c r="AO35" s="32" t="e">
        <f t="shared" si="18"/>
        <v>#N/A</v>
      </c>
      <c r="AP35" s="32" t="e">
        <f t="shared" si="19"/>
        <v>#N/A</v>
      </c>
      <c r="AQ35" s="32" t="e">
        <f>IF(AND(AE35&gt;=AO35,AE35&lt;=AP35),Dropdown!$A$19,Dropdown!$A$20)</f>
        <v>#N/A</v>
      </c>
      <c r="AR35" s="32" t="e">
        <f t="shared" si="20"/>
        <v>#N/A</v>
      </c>
      <c r="AS35" s="32" t="e">
        <f t="shared" si="21"/>
        <v>#N/A</v>
      </c>
      <c r="AT35" s="32" t="e">
        <f>IF(AND(AF35&gt;=AR35,AF35&lt;=AS35),Dropdown!$A$19,Dropdown!$A$20)</f>
        <v>#N/A</v>
      </c>
      <c r="AU35" s="251" t="e">
        <f>IF(AND(AN35=Dropdown!$A$19,AQ35=Dropdown!$A$19,AT35=Dropdown!$A$19),Dropdown!$A$19,Dropdown!$A$20)</f>
        <v>#N/A</v>
      </c>
      <c r="AV35" s="73" t="str">
        <f>IF(Projektformular!AX60="",Dropdown!A$19,Projektformular!AX60)</f>
        <v>Ja</v>
      </c>
      <c r="AW35" s="252" t="str">
        <f>IF(Projektformular!AY60="","",Projektformular!AY60)</f>
        <v/>
      </c>
      <c r="AX35" s="253"/>
    </row>
    <row r="36" spans="1:50" x14ac:dyDescent="0.25">
      <c r="W36" s="30">
        <v>17</v>
      </c>
      <c r="X36" s="31" t="e">
        <f>IF(ISBLANK(Projektformular!AV29)=TRUE,NA(),Projektformular!AV29)</f>
        <v>#N/A</v>
      </c>
      <c r="Y36" s="31" t="e">
        <f>IF(ISBLANK(Projektformular!AX29)=TRUE,NA(),Projektformular!AX29)</f>
        <v>#N/A</v>
      </c>
      <c r="Z36" s="32" t="e">
        <f>IF(ISBLANK(Projektformular!AZ29)=TRUE,NA(),Projektformular!AZ29)</f>
        <v>#N/A</v>
      </c>
      <c r="AA36" s="32" t="e">
        <f>IF(ISBLANK(Projektformular!BA29)=TRUE,NA(),Projektformular!BA29)</f>
        <v>#N/A</v>
      </c>
      <c r="AB36" s="32" t="e">
        <f>IF(ISBLANK(Projektformular!BB29)=TRUE,NA(),Projektformular!BB29)</f>
        <v>#N/A</v>
      </c>
      <c r="AC36" s="32" t="str">
        <f>IF(ISBLANK(Projektformular!BC29)=TRUE,NA(),Projektformular!BC29)</f>
        <v/>
      </c>
      <c r="AD36" s="32" t="e">
        <f t="shared" si="9"/>
        <v>#N/A</v>
      </c>
      <c r="AE36" s="32" t="e">
        <f t="shared" si="13"/>
        <v>#N/A</v>
      </c>
      <c r="AF36" s="32" t="e">
        <f t="shared" si="14"/>
        <v>#N/A</v>
      </c>
      <c r="AG36" s="48" t="e">
        <f>IF(AND(X36=Dropdown!$A$64,Y36=Dropdown!$A$71),$X$4,IF(AND(X36=Dropdown!$A$64,Y36=Dropdown!$A$72),$Y$4,IF(AND(X36=Dropdown!$A$64,Y36=Dropdown!$A$73),$Z$4,    IF(AND(X36=Dropdown!$A$65,Y36=Dropdown!$A$71),$AA$4,IF(AND(X36=Dropdown!$A$65,Y36=Dropdown!$A$72),$AB$4,IF(AND(X36=Dropdown!$A$65,Y36=Dropdown!$A$73),$AC$4,    IF(AND(X36=Dropdown!$A$66,Y36=Dropdown!$A$71),$AD$4,IF(AND(X36=Dropdown!$A$66,Y36=Dropdown!$A$72),$AE$4,IF(AND(X36=Dropdown!$A$66,Y36=Dropdown!$A$73),$AF$4,    IF(AND(X36=Dropdown!$A$67,Y36=Dropdown!$A$71),$AD$4,IF(AND(X36=Dropdown!$A$67,Y36=Dropdown!$A$72),$AE$4,IF(AND(X36=Dropdown!$A$67,Y36=Dropdown!$A$73),$AF$4,    NA()))))))))))))</f>
        <v>#N/A</v>
      </c>
      <c r="AH36" s="48" t="e">
        <f t="shared" si="15"/>
        <v>#N/A</v>
      </c>
      <c r="AI36" s="33" t="e">
        <f t="shared" si="10"/>
        <v>#N/A</v>
      </c>
      <c r="AJ36" s="33" t="e">
        <f t="shared" si="11"/>
        <v>#N/A</v>
      </c>
      <c r="AK36" s="33" t="e">
        <f t="shared" si="12"/>
        <v>#N/A</v>
      </c>
      <c r="AL36" s="32" t="e">
        <f t="shared" si="16"/>
        <v>#N/A</v>
      </c>
      <c r="AM36" s="32" t="e">
        <f t="shared" si="17"/>
        <v>#N/A</v>
      </c>
      <c r="AN36" s="32" t="e">
        <f>IF(AND(AD36&gt;=AL36,AD36&lt;=AM36),Dropdown!$A$19,Dropdown!$A$20)</f>
        <v>#N/A</v>
      </c>
      <c r="AO36" s="32" t="e">
        <f t="shared" si="18"/>
        <v>#N/A</v>
      </c>
      <c r="AP36" s="32" t="e">
        <f t="shared" si="19"/>
        <v>#N/A</v>
      </c>
      <c r="AQ36" s="32" t="e">
        <f>IF(AND(AE36&gt;=AO36,AE36&lt;=AP36),Dropdown!$A$19,Dropdown!$A$20)</f>
        <v>#N/A</v>
      </c>
      <c r="AR36" s="32" t="e">
        <f t="shared" si="20"/>
        <v>#N/A</v>
      </c>
      <c r="AS36" s="32" t="e">
        <f t="shared" si="21"/>
        <v>#N/A</v>
      </c>
      <c r="AT36" s="32" t="e">
        <f>IF(AND(AF36&gt;=AR36,AF36&lt;=AS36),Dropdown!$A$19,Dropdown!$A$20)</f>
        <v>#N/A</v>
      </c>
      <c r="AU36" s="251" t="e">
        <f>IF(AND(AN36=Dropdown!$A$19,AQ36=Dropdown!$A$19,AT36=Dropdown!$A$19),Dropdown!$A$19,Dropdown!$A$20)</f>
        <v>#N/A</v>
      </c>
      <c r="AV36" s="73" t="str">
        <f>IF(Projektformular!AX61="",Dropdown!A$19,Projektformular!AX61)</f>
        <v>Ja</v>
      </c>
      <c r="AW36" s="252" t="str">
        <f>IF(Projektformular!AY61="","",Projektformular!AY61)</f>
        <v/>
      </c>
      <c r="AX36" s="253"/>
    </row>
    <row r="37" spans="1:50" x14ac:dyDescent="0.25">
      <c r="W37" s="30">
        <v>18</v>
      </c>
      <c r="X37" s="31" t="e">
        <f>IF(ISBLANK(Projektformular!AV30)=TRUE,NA(),Projektformular!AV30)</f>
        <v>#N/A</v>
      </c>
      <c r="Y37" s="31" t="e">
        <f>IF(ISBLANK(Projektformular!AX30)=TRUE,NA(),Projektformular!AX30)</f>
        <v>#N/A</v>
      </c>
      <c r="Z37" s="32" t="e">
        <f>IF(ISBLANK(Projektformular!AZ30)=TRUE,NA(),Projektformular!AZ30)</f>
        <v>#N/A</v>
      </c>
      <c r="AA37" s="32" t="e">
        <f>IF(ISBLANK(Projektformular!BA30)=TRUE,NA(),Projektformular!BA30)</f>
        <v>#N/A</v>
      </c>
      <c r="AB37" s="32" t="e">
        <f>IF(ISBLANK(Projektformular!BB30)=TRUE,NA(),Projektformular!BB30)</f>
        <v>#N/A</v>
      </c>
      <c r="AC37" s="32" t="str">
        <f>IF(ISBLANK(Projektformular!BC30)=TRUE,NA(),Projektformular!BC30)</f>
        <v/>
      </c>
      <c r="AD37" s="32" t="e">
        <f t="shared" si="9"/>
        <v>#N/A</v>
      </c>
      <c r="AE37" s="32" t="e">
        <f t="shared" si="13"/>
        <v>#N/A</v>
      </c>
      <c r="AF37" s="32" t="e">
        <f t="shared" si="14"/>
        <v>#N/A</v>
      </c>
      <c r="AG37" s="48" t="e">
        <f>IF(AND(X37=Dropdown!$A$64,Y37=Dropdown!$A$71),$X$4,IF(AND(X37=Dropdown!$A$64,Y37=Dropdown!$A$72),$Y$4,IF(AND(X37=Dropdown!$A$64,Y37=Dropdown!$A$73),$Z$4,    IF(AND(X37=Dropdown!$A$65,Y37=Dropdown!$A$71),$AA$4,IF(AND(X37=Dropdown!$A$65,Y37=Dropdown!$A$72),$AB$4,IF(AND(X37=Dropdown!$A$65,Y37=Dropdown!$A$73),$AC$4,    IF(AND(X37=Dropdown!$A$66,Y37=Dropdown!$A$71),$AD$4,IF(AND(X37=Dropdown!$A$66,Y37=Dropdown!$A$72),$AE$4,IF(AND(X37=Dropdown!$A$66,Y37=Dropdown!$A$73),$AF$4,    IF(AND(X37=Dropdown!$A$67,Y37=Dropdown!$A$71),$AD$4,IF(AND(X37=Dropdown!$A$67,Y37=Dropdown!$A$72),$AE$4,IF(AND(X37=Dropdown!$A$67,Y37=Dropdown!$A$73),$AF$4,    NA()))))))))))))</f>
        <v>#N/A</v>
      </c>
      <c r="AH37" s="48" t="e">
        <f t="shared" si="15"/>
        <v>#N/A</v>
      </c>
      <c r="AI37" s="33" t="e">
        <f t="shared" si="10"/>
        <v>#N/A</v>
      </c>
      <c r="AJ37" s="33" t="e">
        <f t="shared" si="11"/>
        <v>#N/A</v>
      </c>
      <c r="AK37" s="33" t="e">
        <f t="shared" si="12"/>
        <v>#N/A</v>
      </c>
      <c r="AL37" s="32" t="e">
        <f t="shared" si="16"/>
        <v>#N/A</v>
      </c>
      <c r="AM37" s="32" t="e">
        <f t="shared" si="17"/>
        <v>#N/A</v>
      </c>
      <c r="AN37" s="32" t="e">
        <f>IF(AND(AD37&gt;=AL37,AD37&lt;=AM37),Dropdown!$A$19,Dropdown!$A$20)</f>
        <v>#N/A</v>
      </c>
      <c r="AO37" s="32" t="e">
        <f t="shared" si="18"/>
        <v>#N/A</v>
      </c>
      <c r="AP37" s="32" t="e">
        <f t="shared" si="19"/>
        <v>#N/A</v>
      </c>
      <c r="AQ37" s="32" t="e">
        <f>IF(AND(AE37&gt;=AO37,AE37&lt;=AP37),Dropdown!$A$19,Dropdown!$A$20)</f>
        <v>#N/A</v>
      </c>
      <c r="AR37" s="32" t="e">
        <f t="shared" si="20"/>
        <v>#N/A</v>
      </c>
      <c r="AS37" s="32" t="e">
        <f t="shared" si="21"/>
        <v>#N/A</v>
      </c>
      <c r="AT37" s="32" t="e">
        <f>IF(AND(AF37&gt;=AR37,AF37&lt;=AS37),Dropdown!$A$19,Dropdown!$A$20)</f>
        <v>#N/A</v>
      </c>
      <c r="AU37" s="251" t="e">
        <f>IF(AND(AN37=Dropdown!$A$19,AQ37=Dropdown!$A$19,AT37=Dropdown!$A$19),Dropdown!$A$19,Dropdown!$A$20)</f>
        <v>#N/A</v>
      </c>
      <c r="AV37" s="73" t="str">
        <f>IF(Projektformular!AX62="",Dropdown!A$19,Projektformular!AX62)</f>
        <v>Ja</v>
      </c>
      <c r="AW37" s="252" t="str">
        <f>IF(Projektformular!AY62="","",Projektformular!AY62)</f>
        <v/>
      </c>
      <c r="AX37" s="253"/>
    </row>
    <row r="38" spans="1:50" x14ac:dyDescent="0.25">
      <c r="W38" s="30">
        <v>19</v>
      </c>
      <c r="X38" s="31" t="e">
        <f>IF(ISBLANK(Projektformular!AV31)=TRUE,NA(),Projektformular!AV31)</f>
        <v>#N/A</v>
      </c>
      <c r="Y38" s="31" t="e">
        <f>IF(ISBLANK(Projektformular!AX31)=TRUE,NA(),Projektformular!AX31)</f>
        <v>#N/A</v>
      </c>
      <c r="Z38" s="32" t="e">
        <f>IF(ISBLANK(Projektformular!AZ31)=TRUE,NA(),Projektformular!AZ31)</f>
        <v>#N/A</v>
      </c>
      <c r="AA38" s="32" t="e">
        <f>IF(ISBLANK(Projektformular!BA31)=TRUE,NA(),Projektformular!BA31)</f>
        <v>#N/A</v>
      </c>
      <c r="AB38" s="32" t="e">
        <f>IF(ISBLANK(Projektformular!BB31)=TRUE,NA(),Projektformular!BB31)</f>
        <v>#N/A</v>
      </c>
      <c r="AC38" s="32" t="str">
        <f>IF(ISBLANK(Projektformular!BC31)=TRUE,NA(),Projektformular!BC31)</f>
        <v/>
      </c>
      <c r="AD38" s="32" t="e">
        <f t="shared" si="9"/>
        <v>#N/A</v>
      </c>
      <c r="AE38" s="32" t="e">
        <f t="shared" si="13"/>
        <v>#N/A</v>
      </c>
      <c r="AF38" s="32" t="e">
        <f t="shared" si="14"/>
        <v>#N/A</v>
      </c>
      <c r="AG38" s="48" t="e">
        <f>IF(AND(X38=Dropdown!$A$64,Y38=Dropdown!$A$71),$X$4,IF(AND(X38=Dropdown!$A$64,Y38=Dropdown!$A$72),$Y$4,IF(AND(X38=Dropdown!$A$64,Y38=Dropdown!$A$73),$Z$4,    IF(AND(X38=Dropdown!$A$65,Y38=Dropdown!$A$71),$AA$4,IF(AND(X38=Dropdown!$A$65,Y38=Dropdown!$A$72),$AB$4,IF(AND(X38=Dropdown!$A$65,Y38=Dropdown!$A$73),$AC$4,    IF(AND(X38=Dropdown!$A$66,Y38=Dropdown!$A$71),$AD$4,IF(AND(X38=Dropdown!$A$66,Y38=Dropdown!$A$72),$AE$4,IF(AND(X38=Dropdown!$A$66,Y38=Dropdown!$A$73),$AF$4,    IF(AND(X38=Dropdown!$A$67,Y38=Dropdown!$A$71),$AD$4,IF(AND(X38=Dropdown!$A$67,Y38=Dropdown!$A$72),$AE$4,IF(AND(X38=Dropdown!$A$67,Y38=Dropdown!$A$73),$AF$4,    NA()))))))))))))</f>
        <v>#N/A</v>
      </c>
      <c r="AH38" s="48" t="e">
        <f t="shared" si="15"/>
        <v>#N/A</v>
      </c>
      <c r="AI38" s="33" t="e">
        <f t="shared" si="10"/>
        <v>#N/A</v>
      </c>
      <c r="AJ38" s="33" t="e">
        <f t="shared" si="11"/>
        <v>#N/A</v>
      </c>
      <c r="AK38" s="33" t="e">
        <f t="shared" si="12"/>
        <v>#N/A</v>
      </c>
      <c r="AL38" s="32" t="e">
        <f t="shared" si="16"/>
        <v>#N/A</v>
      </c>
      <c r="AM38" s="32" t="e">
        <f t="shared" si="17"/>
        <v>#N/A</v>
      </c>
      <c r="AN38" s="32" t="e">
        <f>IF(AND(AD38&gt;=AL38,AD38&lt;=AM38),Dropdown!$A$19,Dropdown!$A$20)</f>
        <v>#N/A</v>
      </c>
      <c r="AO38" s="32" t="e">
        <f t="shared" si="18"/>
        <v>#N/A</v>
      </c>
      <c r="AP38" s="32" t="e">
        <f t="shared" si="19"/>
        <v>#N/A</v>
      </c>
      <c r="AQ38" s="32" t="e">
        <f>IF(AND(AE38&gt;=AO38,AE38&lt;=AP38),Dropdown!$A$19,Dropdown!$A$20)</f>
        <v>#N/A</v>
      </c>
      <c r="AR38" s="32" t="e">
        <f t="shared" si="20"/>
        <v>#N/A</v>
      </c>
      <c r="AS38" s="32" t="e">
        <f t="shared" si="21"/>
        <v>#N/A</v>
      </c>
      <c r="AT38" s="32" t="e">
        <f>IF(AND(AF38&gt;=AR38,AF38&lt;=AS38),Dropdown!$A$19,Dropdown!$A$20)</f>
        <v>#N/A</v>
      </c>
      <c r="AU38" s="251" t="e">
        <f>IF(AND(AN38=Dropdown!$A$19,AQ38=Dropdown!$A$19,AT38=Dropdown!$A$19),Dropdown!$A$19,Dropdown!$A$20)</f>
        <v>#N/A</v>
      </c>
      <c r="AV38" s="73" t="str">
        <f>IF(Projektformular!AX63="",Dropdown!A$19,Projektformular!AX63)</f>
        <v>Ja</v>
      </c>
      <c r="AW38" s="252" t="str">
        <f>IF(Projektformular!AY63="","",Projektformular!AY63)</f>
        <v/>
      </c>
      <c r="AX38" s="253"/>
    </row>
    <row r="39" spans="1:50" x14ac:dyDescent="0.25">
      <c r="W39" s="30">
        <v>20</v>
      </c>
      <c r="X39" s="31" t="e">
        <f>IF(ISBLANK(Projektformular!AV32)=TRUE,NA(),Projektformular!AV32)</f>
        <v>#N/A</v>
      </c>
      <c r="Y39" s="31" t="e">
        <f>IF(ISBLANK(Projektformular!AX32)=TRUE,NA(),Projektformular!AX32)</f>
        <v>#N/A</v>
      </c>
      <c r="Z39" s="32" t="e">
        <f>IF(ISBLANK(Projektformular!AZ32)=TRUE,NA(),Projektformular!AZ32)</f>
        <v>#N/A</v>
      </c>
      <c r="AA39" s="32" t="e">
        <f>IF(ISBLANK(Projektformular!BA32)=TRUE,NA(),Projektformular!BA32)</f>
        <v>#N/A</v>
      </c>
      <c r="AB39" s="32" t="e">
        <f>IF(ISBLANK(Projektformular!BB32)=TRUE,NA(),Projektformular!BB32)</f>
        <v>#N/A</v>
      </c>
      <c r="AC39" s="32" t="str">
        <f>IF(ISBLANK(Projektformular!BC32)=TRUE,NA(),Projektformular!BC32)</f>
        <v/>
      </c>
      <c r="AD39" s="32" t="e">
        <f t="shared" si="9"/>
        <v>#N/A</v>
      </c>
      <c r="AE39" s="32" t="e">
        <f t="shared" si="13"/>
        <v>#N/A</v>
      </c>
      <c r="AF39" s="32" t="e">
        <f t="shared" si="14"/>
        <v>#N/A</v>
      </c>
      <c r="AG39" s="48" t="e">
        <f>IF(AND(X39=Dropdown!$A$64,Y39=Dropdown!$A$71),$X$4,IF(AND(X39=Dropdown!$A$64,Y39=Dropdown!$A$72),$Y$4,IF(AND(X39=Dropdown!$A$64,Y39=Dropdown!$A$73),$Z$4,    IF(AND(X39=Dropdown!$A$65,Y39=Dropdown!$A$71),$AA$4,IF(AND(X39=Dropdown!$A$65,Y39=Dropdown!$A$72),$AB$4,IF(AND(X39=Dropdown!$A$65,Y39=Dropdown!$A$73),$AC$4,    IF(AND(X39=Dropdown!$A$66,Y39=Dropdown!$A$71),$AD$4,IF(AND(X39=Dropdown!$A$66,Y39=Dropdown!$A$72),$AE$4,IF(AND(X39=Dropdown!$A$66,Y39=Dropdown!$A$73),$AF$4,    IF(AND(X39=Dropdown!$A$67,Y39=Dropdown!$A$71),$AD$4,IF(AND(X39=Dropdown!$A$67,Y39=Dropdown!$A$72),$AE$4,IF(AND(X39=Dropdown!$A$67,Y39=Dropdown!$A$73),$AF$4,    NA()))))))))))))</f>
        <v>#N/A</v>
      </c>
      <c r="AH39" s="48" t="e">
        <f t="shared" si="15"/>
        <v>#N/A</v>
      </c>
      <c r="AI39" s="33" t="e">
        <f t="shared" si="10"/>
        <v>#N/A</v>
      </c>
      <c r="AJ39" s="33" t="e">
        <f t="shared" si="11"/>
        <v>#N/A</v>
      </c>
      <c r="AK39" s="33" t="e">
        <f t="shared" si="12"/>
        <v>#N/A</v>
      </c>
      <c r="AL39" s="32" t="e">
        <f t="shared" si="16"/>
        <v>#N/A</v>
      </c>
      <c r="AM39" s="32" t="e">
        <f t="shared" si="17"/>
        <v>#N/A</v>
      </c>
      <c r="AN39" s="32" t="e">
        <f>IF(AND(AD39&gt;=AL39,AD39&lt;=AM39),Dropdown!$A$19,Dropdown!$A$20)</f>
        <v>#N/A</v>
      </c>
      <c r="AO39" s="32" t="e">
        <f t="shared" si="18"/>
        <v>#N/A</v>
      </c>
      <c r="AP39" s="32" t="e">
        <f t="shared" si="19"/>
        <v>#N/A</v>
      </c>
      <c r="AQ39" s="32" t="e">
        <f>IF(AND(AE39&gt;=AO39,AE39&lt;=AP39),Dropdown!$A$19,Dropdown!$A$20)</f>
        <v>#N/A</v>
      </c>
      <c r="AR39" s="32" t="e">
        <f t="shared" si="20"/>
        <v>#N/A</v>
      </c>
      <c r="AS39" s="32" t="e">
        <f t="shared" si="21"/>
        <v>#N/A</v>
      </c>
      <c r="AT39" s="32" t="e">
        <f>IF(AND(AF39&gt;=AR39,AF39&lt;=AS39),Dropdown!$A$19,Dropdown!$A$20)</f>
        <v>#N/A</v>
      </c>
      <c r="AU39" s="251" t="e">
        <f>IF(AND(AN39=Dropdown!$A$19,AQ39=Dropdown!$A$19,AT39=Dropdown!$A$19),Dropdown!$A$19,Dropdown!$A$20)</f>
        <v>#N/A</v>
      </c>
      <c r="AV39" s="73" t="str">
        <f>IF(Projektformular!AX64="",Dropdown!A$19,Projektformular!AX64)</f>
        <v>Ja</v>
      </c>
      <c r="AW39" s="252" t="str">
        <f>IF(Projektformular!AY64="","",Projektformular!AY64)</f>
        <v/>
      </c>
      <c r="AX39" s="254"/>
    </row>
    <row r="40" spans="1:50" x14ac:dyDescent="0.25">
      <c r="AV40" s="73">
        <f>COUNTIF(AV20:AV39,Dropdown!A20)</f>
        <v>0</v>
      </c>
      <c r="AW40" s="252">
        <f>20-COUNTIF(AW20:AW39,"")</f>
        <v>0</v>
      </c>
      <c r="AX40" s="73" t="str">
        <f>IF(AV40=AW40,Dropdown!A19,Dropdown!A20)</f>
        <v>Ja</v>
      </c>
    </row>
    <row r="47" spans="1:50" x14ac:dyDescent="0.25">
      <c r="A47" s="188" t="s">
        <v>199</v>
      </c>
    </row>
    <row r="48" spans="1:50" ht="61.75" x14ac:dyDescent="0.25">
      <c r="A48" s="189"/>
      <c r="B48" s="203" t="s">
        <v>275</v>
      </c>
      <c r="C48" s="204"/>
      <c r="D48" s="203" t="s">
        <v>280</v>
      </c>
      <c r="E48" s="204"/>
      <c r="F48" s="205" t="s">
        <v>279</v>
      </c>
      <c r="G48" s="199"/>
    </row>
    <row r="49" spans="1:23" ht="20.6" x14ac:dyDescent="0.25">
      <c r="A49" s="197" t="s">
        <v>273</v>
      </c>
      <c r="B49" s="200" t="s">
        <v>277</v>
      </c>
      <c r="C49" s="200" t="s">
        <v>278</v>
      </c>
      <c r="D49" s="200" t="s">
        <v>281</v>
      </c>
      <c r="E49" s="200" t="s">
        <v>282</v>
      </c>
      <c r="F49" s="201" t="s">
        <v>1150</v>
      </c>
      <c r="G49" s="201" t="s">
        <v>25</v>
      </c>
    </row>
    <row r="50" spans="1:23" x14ac:dyDescent="0.25">
      <c r="A50" s="73">
        <v>6</v>
      </c>
      <c r="B50" s="195">
        <v>0.17649999999999999</v>
      </c>
      <c r="C50" s="195">
        <v>3.1699999999999999E-2</v>
      </c>
      <c r="D50" s="195">
        <v>3.6900000000000002E-2</v>
      </c>
      <c r="E50" s="195">
        <v>1.35E-2</v>
      </c>
      <c r="F50" s="198">
        <v>8.5</v>
      </c>
      <c r="G50" s="196">
        <v>16</v>
      </c>
    </row>
    <row r="51" spans="1:23" x14ac:dyDescent="0.25">
      <c r="A51" s="73">
        <v>5</v>
      </c>
      <c r="B51" s="195">
        <v>2.6015999999999999</v>
      </c>
      <c r="C51" s="195">
        <v>0.57799999999999996</v>
      </c>
      <c r="D51" s="195">
        <v>0.77070000000000005</v>
      </c>
      <c r="E51" s="195">
        <v>0.31440000000000001</v>
      </c>
      <c r="F51" s="196">
        <v>0.85</v>
      </c>
      <c r="G51" s="196">
        <v>0.75</v>
      </c>
    </row>
    <row r="52" spans="1:23" x14ac:dyDescent="0.25">
      <c r="A52" s="73">
        <v>4</v>
      </c>
      <c r="B52" s="195">
        <v>15.462</v>
      </c>
      <c r="C52" s="195">
        <v>4.3825000000000003</v>
      </c>
      <c r="D52" s="195">
        <v>6.3827999999999996</v>
      </c>
      <c r="E52" s="195">
        <v>2.9607999999999999</v>
      </c>
    </row>
    <row r="53" spans="1:23" x14ac:dyDescent="0.25">
      <c r="A53" s="73">
        <v>3</v>
      </c>
      <c r="B53" s="195">
        <v>47.665999999999997</v>
      </c>
      <c r="C53" s="195">
        <v>18.016999999999999</v>
      </c>
      <c r="D53" s="195">
        <v>26.713999999999999</v>
      </c>
      <c r="E53" s="195">
        <v>14.497</v>
      </c>
    </row>
    <row r="54" spans="1:23" x14ac:dyDescent="0.25">
      <c r="A54" s="73">
        <v>2</v>
      </c>
      <c r="B54" s="195">
        <v>81.94</v>
      </c>
      <c r="C54" s="195">
        <v>43.643000000000001</v>
      </c>
      <c r="D54" s="195">
        <v>59.817999999999998</v>
      </c>
      <c r="E54" s="195">
        <v>39.703000000000003</v>
      </c>
      <c r="F54" s="17">
        <v>8.9669000000000008</v>
      </c>
      <c r="G54" s="17">
        <v>16.288</v>
      </c>
    </row>
    <row r="55" spans="1:23" x14ac:dyDescent="0.25">
      <c r="A55" s="73">
        <v>1</v>
      </c>
      <c r="B55" s="195">
        <v>78.691999999999993</v>
      </c>
      <c r="C55" s="195">
        <v>62.643999999999998</v>
      </c>
      <c r="D55" s="195">
        <v>70.02</v>
      </c>
      <c r="E55" s="195">
        <v>61.021999999999998</v>
      </c>
      <c r="F55" s="17">
        <v>0.92900000000000005</v>
      </c>
      <c r="G55" s="17">
        <v>0.86899999999999999</v>
      </c>
      <c r="I55" s="17" t="s">
        <v>276</v>
      </c>
      <c r="P55" s="17" t="s">
        <v>274</v>
      </c>
      <c r="W55" s="17" t="s">
        <v>275</v>
      </c>
    </row>
    <row r="56" spans="1:23" x14ac:dyDescent="0.25">
      <c r="A56" s="73">
        <v>0</v>
      </c>
      <c r="B56" s="195">
        <v>40.192999999999998</v>
      </c>
      <c r="C56" s="195">
        <v>50.43</v>
      </c>
      <c r="D56" s="195">
        <v>39.668999999999997</v>
      </c>
      <c r="E56" s="195">
        <v>50.326000000000001</v>
      </c>
    </row>
    <row r="58" spans="1:23" ht="20.6" x14ac:dyDescent="0.25">
      <c r="A58" s="193" t="s">
        <v>24</v>
      </c>
      <c r="B58" s="194" t="str">
        <f t="shared" ref="B58:G58" si="31">B49</f>
        <v>Heizperiode 2.40</v>
      </c>
      <c r="C58" s="194" t="str">
        <f t="shared" si="31"/>
        <v>Ganzjahresbetrieb 2.40</v>
      </c>
      <c r="D58" s="194" t="str">
        <f t="shared" si="31"/>
        <v>Heizperiode 2.40-2</v>
      </c>
      <c r="E58" s="194" t="str">
        <f t="shared" si="31"/>
        <v>Ganzjahresbetrieb 2.40-2</v>
      </c>
      <c r="F58" s="194" t="str">
        <f t="shared" si="31"/>
        <v>Heizperiode</v>
      </c>
      <c r="G58" s="194" t="str">
        <f t="shared" si="31"/>
        <v>Ganzjahresbetrieb</v>
      </c>
    </row>
    <row r="59" spans="1:23" x14ac:dyDescent="0.25">
      <c r="A59" s="190">
        <v>0.2</v>
      </c>
      <c r="B59" s="191">
        <f t="shared" ref="B59:E78" si="32">B$50*$A59^6-B$51*$A59^5+B$52*$A59^4-B$53*$A59^3+B$54*$A59^2-B$55*$A59+B$56</f>
        <v>27.374789984</v>
      </c>
      <c r="C59" s="191">
        <f t="shared" si="32"/>
        <v>39.5096130688</v>
      </c>
      <c r="D59" s="191">
        <f t="shared" si="32"/>
        <v>27.8539762176</v>
      </c>
      <c r="E59" s="191">
        <f t="shared" si="32"/>
        <v>39.598381536000005</v>
      </c>
      <c r="F59" s="202">
        <f t="shared" ref="F59:G88" si="33">F$50*$A59^-F$51</f>
        <v>33.384388784849982</v>
      </c>
      <c r="G59" s="202">
        <f t="shared" si="33"/>
        <v>53.499224398113753</v>
      </c>
    </row>
    <row r="60" spans="1:23" x14ac:dyDescent="0.25">
      <c r="A60" s="190">
        <v>0.4</v>
      </c>
      <c r="B60" s="191">
        <f t="shared" si="32"/>
        <v>19.145885760000002</v>
      </c>
      <c r="C60" s="191">
        <f t="shared" si="32"/>
        <v>31.3085951232</v>
      </c>
      <c r="D60" s="191">
        <f t="shared" si="32"/>
        <v>19.677842854399998</v>
      </c>
      <c r="E60" s="191">
        <f t="shared" si="32"/>
        <v>31.414504320000002</v>
      </c>
      <c r="F60" s="202">
        <f t="shared" si="33"/>
        <v>18.521149319656843</v>
      </c>
      <c r="G60" s="202">
        <f>G$50*$A60^-G$51</f>
        <v>31.810829150682022</v>
      </c>
    </row>
    <row r="61" spans="1:23" x14ac:dyDescent="0.25">
      <c r="A61" s="190">
        <v>0.6</v>
      </c>
      <c r="B61" s="191">
        <f t="shared" si="32"/>
        <v>13.990153568</v>
      </c>
      <c r="C61" s="191">
        <f t="shared" si="32"/>
        <v>25.187913715200004</v>
      </c>
      <c r="D61" s="191">
        <f t="shared" si="32"/>
        <v>14.190258854400003</v>
      </c>
      <c r="E61" s="191">
        <f t="shared" si="32"/>
        <v>25.234429792</v>
      </c>
      <c r="F61" s="202">
        <f t="shared" si="33"/>
        <v>13.121707812722423</v>
      </c>
      <c r="G61" s="202">
        <f t="shared" si="33"/>
        <v>23.469646314490493</v>
      </c>
    </row>
    <row r="62" spans="1:23" x14ac:dyDescent="0.25">
      <c r="A62" s="190">
        <v>0.8</v>
      </c>
      <c r="B62" s="191">
        <f t="shared" si="32"/>
        <v>10.803019328000012</v>
      </c>
      <c r="C62" s="191">
        <f t="shared" si="32"/>
        <v>20.635598924800004</v>
      </c>
      <c r="D62" s="191">
        <f t="shared" si="32"/>
        <v>10.630477017600001</v>
      </c>
      <c r="E62" s="191">
        <f t="shared" si="32"/>
        <v>20.609116032000006</v>
      </c>
      <c r="F62" s="202">
        <f t="shared" si="33"/>
        <v>10.275250936350684</v>
      </c>
      <c r="G62" s="202">
        <f t="shared" si="33"/>
        <v>18.914832180063517</v>
      </c>
    </row>
    <row r="63" spans="1:23" x14ac:dyDescent="0.25">
      <c r="A63" s="190">
        <v>1</v>
      </c>
      <c r="B63" s="191">
        <f t="shared" si="32"/>
        <v>8.8119000000000085</v>
      </c>
      <c r="C63" s="191">
        <f t="shared" si="32"/>
        <v>17.248200000000004</v>
      </c>
      <c r="D63" s="191">
        <f t="shared" si="32"/>
        <v>8.402000000000001</v>
      </c>
      <c r="E63" s="191">
        <f t="shared" si="32"/>
        <v>17.169900000000005</v>
      </c>
      <c r="F63" s="202">
        <f t="shared" si="33"/>
        <v>8.5</v>
      </c>
      <c r="G63" s="202">
        <f t="shared" si="33"/>
        <v>16</v>
      </c>
    </row>
    <row r="64" spans="1:23" x14ac:dyDescent="0.25">
      <c r="A64" s="190">
        <v>1.2</v>
      </c>
      <c r="B64" s="191">
        <f t="shared" si="32"/>
        <v>7.5047680640000038</v>
      </c>
      <c r="C64" s="191">
        <f t="shared" si="32"/>
        <v>14.713702732800009</v>
      </c>
      <c r="D64" s="191">
        <f t="shared" si="32"/>
        <v>7.048936665600003</v>
      </c>
      <c r="E64" s="191">
        <f t="shared" si="32"/>
        <v>14.618601855999998</v>
      </c>
      <c r="F64" s="202">
        <f t="shared" si="33"/>
        <v>7.2797232051954692</v>
      </c>
      <c r="G64" s="202">
        <f t="shared" si="33"/>
        <v>13.95513519189474</v>
      </c>
    </row>
    <row r="65" spans="1:7" x14ac:dyDescent="0.25">
      <c r="A65" s="190">
        <v>1.4</v>
      </c>
      <c r="B65" s="191">
        <f t="shared" si="32"/>
        <v>6.5668491199999863</v>
      </c>
      <c r="C65" s="191">
        <f t="shared" si="32"/>
        <v>12.795907571200011</v>
      </c>
      <c r="D65" s="191">
        <f t="shared" si="32"/>
        <v>6.2340587903999989</v>
      </c>
      <c r="E65" s="191">
        <f t="shared" si="32"/>
        <v>12.718251360000018</v>
      </c>
      <c r="F65" s="202">
        <f t="shared" si="33"/>
        <v>6.3857232883263668</v>
      </c>
      <c r="G65" s="202">
        <f t="shared" si="33"/>
        <v>12.431512067854598</v>
      </c>
    </row>
    <row r="66" spans="1:7" x14ac:dyDescent="0.25">
      <c r="A66" s="190">
        <v>1.6</v>
      </c>
      <c r="B66" s="191">
        <f t="shared" si="32"/>
        <v>5.8254526080000488</v>
      </c>
      <c r="C66" s="191">
        <f t="shared" si="32"/>
        <v>11.320268467200009</v>
      </c>
      <c r="D66" s="191">
        <f t="shared" si="32"/>
        <v>5.7185581184000114</v>
      </c>
      <c r="E66" s="191">
        <f t="shared" si="32"/>
        <v>11.284436352000021</v>
      </c>
      <c r="F66" s="202">
        <f t="shared" si="33"/>
        <v>5.7005523784056287</v>
      </c>
      <c r="G66" s="202">
        <f t="shared" si="33"/>
        <v>11.246826503806981</v>
      </c>
    </row>
    <row r="67" spans="1:7" x14ac:dyDescent="0.25">
      <c r="A67" s="190">
        <v>1.8</v>
      </c>
      <c r="B67" s="191">
        <f t="shared" si="32"/>
        <v>5.2029356480000644</v>
      </c>
      <c r="C67" s="191">
        <f t="shared" si="32"/>
        <v>10.161192460800017</v>
      </c>
      <c r="D67" s="191">
        <f t="shared" si="32"/>
        <v>5.3435037696000052</v>
      </c>
      <c r="E67" s="191">
        <f t="shared" si="32"/>
        <v>10.177273312000018</v>
      </c>
      <c r="F67" s="202">
        <f t="shared" si="33"/>
        <v>5.1574769582301467</v>
      </c>
      <c r="G67" s="202">
        <f t="shared" si="33"/>
        <v>10.295930535895724</v>
      </c>
    </row>
    <row r="68" spans="1:7" x14ac:dyDescent="0.25">
      <c r="A68" s="190">
        <v>2</v>
      </c>
      <c r="B68" s="191">
        <f t="shared" si="32"/>
        <v>4.6778000000000333</v>
      </c>
      <c r="C68" s="191">
        <f t="shared" si="32"/>
        <v>9.2308000000000234</v>
      </c>
      <c r="D68" s="191">
        <f t="shared" si="32"/>
        <v>5.012999999999991</v>
      </c>
      <c r="E68" s="191">
        <f t="shared" si="32"/>
        <v>9.2940000000000182</v>
      </c>
      <c r="F68" s="202">
        <f t="shared" si="33"/>
        <v>4.7156702562883419</v>
      </c>
      <c r="G68" s="202">
        <f t="shared" si="33"/>
        <v>9.5136569200217682</v>
      </c>
    </row>
    <row r="69" spans="1:7" x14ac:dyDescent="0.25">
      <c r="A69" s="190">
        <v>2.2000000000000002</v>
      </c>
      <c r="B69" s="191">
        <f t="shared" si="32"/>
        <v>4.2539221439999864</v>
      </c>
      <c r="C69" s="191">
        <f t="shared" si="32"/>
        <v>8.469145996800016</v>
      </c>
      <c r="D69" s="191">
        <f t="shared" si="32"/>
        <v>4.679044313599988</v>
      </c>
      <c r="E69" s="191">
        <f t="shared" si="32"/>
        <v>8.562190176000037</v>
      </c>
      <c r="F69" s="202">
        <f t="shared" si="33"/>
        <v>4.3487019887718263</v>
      </c>
      <c r="G69" s="202">
        <f t="shared" si="33"/>
        <v>8.8573329864065933</v>
      </c>
    </row>
    <row r="70" spans="1:7" x14ac:dyDescent="0.25">
      <c r="A70" s="190">
        <v>2.4</v>
      </c>
      <c r="B70" s="191">
        <f t="shared" si="32"/>
        <v>3.9379164800000268</v>
      </c>
      <c r="C70" s="191">
        <f t="shared" si="32"/>
        <v>7.8359016192000226</v>
      </c>
      <c r="D70" s="191">
        <f t="shared" si="32"/>
        <v>4.3280859263999645</v>
      </c>
      <c r="E70" s="191">
        <f t="shared" si="32"/>
        <v>7.9335903999999786</v>
      </c>
      <c r="F70" s="202">
        <f t="shared" si="33"/>
        <v>4.0386793167943882</v>
      </c>
      <c r="G70" s="202">
        <f t="shared" si="33"/>
        <v>8.2977730305130457</v>
      </c>
    </row>
    <row r="71" spans="1:7" x14ac:dyDescent="0.25">
      <c r="A71" s="190">
        <v>2.6</v>
      </c>
      <c r="B71" s="191">
        <f t="shared" si="32"/>
        <v>3.7246316479999138</v>
      </c>
      <c r="C71" s="191">
        <f t="shared" si="32"/>
        <v>7.3034968192000562</v>
      </c>
      <c r="D71" s="191">
        <f t="shared" si="32"/>
        <v>3.9692845823998795</v>
      </c>
      <c r="E71" s="191">
        <f t="shared" si="32"/>
        <v>7.3785789119999734</v>
      </c>
      <c r="F71" s="202">
        <f t="shared" si="33"/>
        <v>3.7730414814984781</v>
      </c>
      <c r="G71" s="202">
        <f t="shared" si="33"/>
        <v>7.8142980459930191</v>
      </c>
    </row>
    <row r="72" spans="1:7" x14ac:dyDescent="0.25">
      <c r="A72" s="190">
        <v>2.8</v>
      </c>
      <c r="B72" s="191">
        <f t="shared" si="32"/>
        <v>3.5907799679998647</v>
      </c>
      <c r="C72" s="191">
        <f t="shared" si="32"/>
        <v>6.8517235968000918</v>
      </c>
      <c r="D72" s="191">
        <f t="shared" si="32"/>
        <v>3.6244697216000219</v>
      </c>
      <c r="E72" s="191">
        <f t="shared" si="32"/>
        <v>6.8812465920000321</v>
      </c>
      <c r="F72" s="202">
        <f t="shared" si="33"/>
        <v>3.5427018088998148</v>
      </c>
      <c r="G72" s="202">
        <f t="shared" si="33"/>
        <v>7.3918213006674378</v>
      </c>
    </row>
    <row r="73" spans="1:7" x14ac:dyDescent="0.25">
      <c r="A73" s="190">
        <v>3</v>
      </c>
      <c r="B73" s="191">
        <f t="shared" si="32"/>
        <v>3.4967000000001036</v>
      </c>
      <c r="C73" s="191">
        <f t="shared" si="32"/>
        <v>6.4638000000000702</v>
      </c>
      <c r="D73" s="191">
        <f t="shared" si="32"/>
        <v>3.3197999999999439</v>
      </c>
      <c r="E73" s="191">
        <f t="shared" si="32"/>
        <v>6.4350999999999843</v>
      </c>
      <c r="F73" s="202">
        <f t="shared" si="33"/>
        <v>3.3409183294305378</v>
      </c>
      <c r="G73" s="202">
        <f t="shared" si="33"/>
        <v>7.0190614024132936</v>
      </c>
    </row>
    <row r="74" spans="1:7" x14ac:dyDescent="0.25">
      <c r="A74" s="190">
        <v>3.2</v>
      </c>
      <c r="B74" s="191">
        <f t="shared" si="32"/>
        <v>3.3962522240002642</v>
      </c>
      <c r="C74" s="191">
        <f t="shared" si="32"/>
        <v>6.1238948608000712</v>
      </c>
      <c r="D74" s="191">
        <f t="shared" si="32"/>
        <v>3.0791231616000658</v>
      </c>
      <c r="E74" s="191">
        <f t="shared" si="32"/>
        <v>6.0393864960000556</v>
      </c>
      <c r="F74" s="202">
        <f t="shared" si="33"/>
        <v>3.1625794465013159</v>
      </c>
      <c r="G74" s="202">
        <f t="shared" si="33"/>
        <v>6.687403049764221</v>
      </c>
    </row>
    <row r="75" spans="1:7" x14ac:dyDescent="0.25">
      <c r="A75" s="190">
        <v>3.4</v>
      </c>
      <c r="B75" s="191">
        <f t="shared" si="32"/>
        <v>3.2548478399999823</v>
      </c>
      <c r="C75" s="191">
        <f t="shared" si="32"/>
        <v>5.8161132672000164</v>
      </c>
      <c r="D75" s="191">
        <f t="shared" si="32"/>
        <v>2.9190362623999278</v>
      </c>
      <c r="E75" s="191">
        <f t="shared" si="32"/>
        <v>5.6960414399999379</v>
      </c>
      <c r="F75" s="202">
        <f t="shared" si="33"/>
        <v>3.0037365989462446</v>
      </c>
      <c r="G75" s="202">
        <f t="shared" si="33"/>
        <v>6.390146205727266</v>
      </c>
    </row>
    <row r="76" spans="1:7" x14ac:dyDescent="0.25">
      <c r="A76" s="190">
        <v>3.6</v>
      </c>
      <c r="B76" s="191">
        <f t="shared" si="32"/>
        <v>3.0756106880004523</v>
      </c>
      <c r="C76" s="191">
        <f t="shared" si="32"/>
        <v>5.5249427712000667</v>
      </c>
      <c r="D76" s="191">
        <f t="shared" si="32"/>
        <v>2.8456462463999657</v>
      </c>
      <c r="E76" s="191">
        <f t="shared" si="32"/>
        <v>5.4072574720000901</v>
      </c>
      <c r="F76" s="202">
        <f t="shared" si="33"/>
        <v>2.8612894928727495</v>
      </c>
      <c r="G76" s="202">
        <f t="shared" si="33"/>
        <v>6.121996924430487</v>
      </c>
    </row>
    <row r="77" spans="1:7" x14ac:dyDescent="0.25">
      <c r="A77" s="190">
        <v>3.8</v>
      </c>
      <c r="B77" s="191">
        <f t="shared" si="32"/>
        <v>2.9336722880003805</v>
      </c>
      <c r="C77" s="191">
        <f t="shared" si="32"/>
        <v>5.2371603328002081</v>
      </c>
      <c r="D77" s="191">
        <f t="shared" si="32"/>
        <v>2.8530308736000762</v>
      </c>
      <c r="E77" s="191">
        <f t="shared" si="32"/>
        <v>5.1736758720001106</v>
      </c>
      <c r="F77" s="202">
        <f t="shared" si="33"/>
        <v>2.7327686608711028</v>
      </c>
      <c r="G77" s="202">
        <f t="shared" si="33"/>
        <v>5.8787133632350947</v>
      </c>
    </row>
    <row r="78" spans="1:7" x14ac:dyDescent="0.25">
      <c r="A78" s="190">
        <v>4</v>
      </c>
      <c r="B78" s="191">
        <f t="shared" si="32"/>
        <v>3.0186000000001769</v>
      </c>
      <c r="C78" s="191">
        <f t="shared" si="32"/>
        <v>4.9452000000001917</v>
      </c>
      <c r="D78" s="191">
        <f t="shared" si="32"/>
        <v>2.9233999999999725</v>
      </c>
      <c r="E78" s="191">
        <f t="shared" si="32"/>
        <v>4.9932000000000087</v>
      </c>
      <c r="F78" s="202">
        <f t="shared" si="33"/>
        <v>2.6161818783579474</v>
      </c>
      <c r="G78" s="202">
        <f t="shared" si="33"/>
        <v>5.6568542494923806</v>
      </c>
    </row>
    <row r="79" spans="1:7" x14ac:dyDescent="0.25">
      <c r="A79" s="190">
        <v>4.2</v>
      </c>
      <c r="B79" s="192">
        <v>2.95</v>
      </c>
      <c r="C79" s="192">
        <v>4.8</v>
      </c>
      <c r="D79" s="191">
        <f t="shared" ref="D79:E88" si="34">D$50*$A79^6-D$51*$A79^5+D$52*$A79^4-D$53*$A79^3+D$54*$A79^2-D$55*$A79+D$56</f>
        <v>3.0289572095995965</v>
      </c>
      <c r="E79" s="191">
        <f t="shared" si="34"/>
        <v>4.8604308159999974</v>
      </c>
      <c r="F79" s="202">
        <f t="shared" si="33"/>
        <v>2.5099035271342358</v>
      </c>
      <c r="G79" s="202">
        <f t="shared" si="33"/>
        <v>5.4535966580695785</v>
      </c>
    </row>
    <row r="80" spans="1:7" x14ac:dyDescent="0.25">
      <c r="A80" s="190">
        <v>4.4000000000000004</v>
      </c>
      <c r="B80" s="192">
        <v>2.9</v>
      </c>
      <c r="C80" s="192">
        <v>4.75</v>
      </c>
      <c r="D80" s="191">
        <f t="shared" si="34"/>
        <v>3.1354617983996178</v>
      </c>
      <c r="E80" s="191">
        <f t="shared" si="34"/>
        <v>4.7667244800001995</v>
      </c>
      <c r="F80" s="202">
        <f t="shared" si="33"/>
        <v>2.4125934849309711</v>
      </c>
      <c r="G80" s="202">
        <f t="shared" si="33"/>
        <v>5.2666017036915109</v>
      </c>
    </row>
    <row r="81" spans="1:18" x14ac:dyDescent="0.25">
      <c r="A81" s="190">
        <v>4.5999999999999996</v>
      </c>
      <c r="B81" s="192">
        <v>2.87</v>
      </c>
      <c r="C81" s="192">
        <v>4.7</v>
      </c>
      <c r="D81" s="191">
        <f t="shared" si="34"/>
        <v>3.2074911103996016</v>
      </c>
      <c r="E81" s="191">
        <f t="shared" si="34"/>
        <v>4.7008720319999853</v>
      </c>
      <c r="F81" s="202">
        <f t="shared" si="33"/>
        <v>2.3231367166084973</v>
      </c>
      <c r="G81" s="202">
        <f t="shared" si="33"/>
        <v>5.0939140041297915</v>
      </c>
    </row>
    <row r="82" spans="1:18" x14ac:dyDescent="0.25">
      <c r="A82" s="190">
        <v>4.8</v>
      </c>
      <c r="B82" s="192">
        <v>2.86</v>
      </c>
      <c r="C82" s="192">
        <v>4.67</v>
      </c>
      <c r="D82" s="191">
        <f t="shared" si="34"/>
        <v>3.2154032255993599</v>
      </c>
      <c r="E82" s="191">
        <f t="shared" si="34"/>
        <v>4.6504011519996666</v>
      </c>
      <c r="F82" s="202">
        <f t="shared" si="33"/>
        <v>2.240597638693437</v>
      </c>
      <c r="G82" s="202">
        <f t="shared" si="33"/>
        <v>4.9338853632819024</v>
      </c>
    </row>
    <row r="83" spans="1:18" x14ac:dyDescent="0.25">
      <c r="A83" s="190">
        <v>5</v>
      </c>
      <c r="B83" s="192">
        <v>2.85</v>
      </c>
      <c r="C83" s="192">
        <v>4.66</v>
      </c>
      <c r="D83" s="191">
        <f t="shared" si="34"/>
        <v>3.1439999999996218</v>
      </c>
      <c r="E83" s="191">
        <f t="shared" si="34"/>
        <v>4.6035000000000323</v>
      </c>
      <c r="F83" s="202">
        <f t="shared" si="33"/>
        <v>2.1641851964289205</v>
      </c>
      <c r="G83" s="202">
        <f t="shared" si="33"/>
        <v>4.7851160999079063</v>
      </c>
      <c r="Q83" s="17" t="s">
        <v>1150</v>
      </c>
      <c r="R83" s="17" t="s">
        <v>25</v>
      </c>
    </row>
    <row r="84" spans="1:18" x14ac:dyDescent="0.25">
      <c r="A84" s="190">
        <v>5.2</v>
      </c>
      <c r="B84" s="192">
        <v>2.84</v>
      </c>
      <c r="C84" s="192">
        <v>4.6500000000000004</v>
      </c>
      <c r="D84" s="191">
        <f t="shared" si="34"/>
        <v>3.0028904575987809</v>
      </c>
      <c r="E84" s="191">
        <f t="shared" si="34"/>
        <v>4.5515631359994373</v>
      </c>
      <c r="F84" s="202">
        <f t="shared" si="33"/>
        <v>2.093225822358173</v>
      </c>
      <c r="G84" s="202">
        <f t="shared" si="33"/>
        <v>4.6464094175233797</v>
      </c>
      <c r="Q84" s="17" t="s">
        <v>1414</v>
      </c>
      <c r="R84" s="17" t="s">
        <v>1395</v>
      </c>
    </row>
    <row r="85" spans="1:18" x14ac:dyDescent="0.25">
      <c r="A85" s="190">
        <v>5.4</v>
      </c>
      <c r="B85" s="192">
        <v>2.83</v>
      </c>
      <c r="C85" s="192">
        <v>4.6399999999999997</v>
      </c>
      <c r="D85" s="191">
        <f t="shared" si="34"/>
        <v>2.8385545343995346</v>
      </c>
      <c r="E85" s="191">
        <f t="shared" si="34"/>
        <v>4.4923595200000719</v>
      </c>
      <c r="F85" s="202">
        <f t="shared" si="33"/>
        <v>2.0271422709843239</v>
      </c>
      <c r="G85" s="202">
        <f t="shared" si="33"/>
        <v>4.5167355391521298</v>
      </c>
      <c r="Q85" s="17" t="s">
        <v>1397</v>
      </c>
      <c r="R85" s="17" t="s">
        <v>702</v>
      </c>
    </row>
    <row r="86" spans="1:18" x14ac:dyDescent="0.25">
      <c r="A86" s="190">
        <v>5.6</v>
      </c>
      <c r="B86" s="192">
        <v>2.82</v>
      </c>
      <c r="C86" s="192">
        <v>4.63</v>
      </c>
      <c r="D86" s="191">
        <f t="shared" si="34"/>
        <v>2.7481071743996068</v>
      </c>
      <c r="E86" s="191">
        <f t="shared" si="34"/>
        <v>4.433822591999764</v>
      </c>
      <c r="F86" s="202">
        <f t="shared" si="33"/>
        <v>1.9654368878973834</v>
      </c>
      <c r="G86" s="202">
        <f t="shared" si="33"/>
        <v>4.3952032417911928</v>
      </c>
      <c r="Q86" s="17" t="s">
        <v>1396</v>
      </c>
      <c r="R86" s="17" t="s">
        <v>871</v>
      </c>
    </row>
    <row r="87" spans="1:18" x14ac:dyDescent="0.25">
      <c r="A87" s="190">
        <v>5.8</v>
      </c>
      <c r="B87" s="192">
        <v>2.81</v>
      </c>
      <c r="C87" s="192">
        <v>4.62</v>
      </c>
      <c r="D87" s="191">
        <f t="shared" si="34"/>
        <v>2.8947627775991265</v>
      </c>
      <c r="E87" s="191">
        <f t="shared" si="34"/>
        <v>4.3984624320000663</v>
      </c>
      <c r="F87" s="202">
        <f t="shared" si="33"/>
        <v>1.9076782630601887</v>
      </c>
      <c r="G87" s="202">
        <f t="shared" si="33"/>
        <v>4.2810370604036478</v>
      </c>
    </row>
    <row r="88" spans="1:18" x14ac:dyDescent="0.25">
      <c r="A88" s="190">
        <v>6</v>
      </c>
      <c r="B88" s="192">
        <v>2.8</v>
      </c>
      <c r="C88" s="192">
        <v>4.6100000000000003</v>
      </c>
      <c r="D88" s="191">
        <f t="shared" si="34"/>
        <v>3.5250000000001052</v>
      </c>
      <c r="E88" s="191">
        <f t="shared" si="34"/>
        <v>4.4283999999995913</v>
      </c>
      <c r="F88" s="202">
        <f t="shared" si="33"/>
        <v>1.8534904935040148</v>
      </c>
      <c r="G88" s="202">
        <f t="shared" si="33"/>
        <v>4.173558880195432</v>
      </c>
    </row>
    <row r="90" spans="1:18" x14ac:dyDescent="0.25">
      <c r="A90" s="188" t="s">
        <v>300</v>
      </c>
    </row>
    <row r="91" spans="1:18" x14ac:dyDescent="0.25">
      <c r="A91" s="17" t="s">
        <v>302</v>
      </c>
      <c r="B91" s="17" t="s">
        <v>23</v>
      </c>
      <c r="C91" s="17" t="s">
        <v>1122</v>
      </c>
      <c r="D91" s="17" t="s">
        <v>301</v>
      </c>
    </row>
    <row r="92" spans="1:18" x14ac:dyDescent="0.25">
      <c r="A92" s="206">
        <f>IF(Projektformular!AC34=Dropdown!A19,1.3,1)</f>
        <v>1</v>
      </c>
      <c r="B92" s="17">
        <f>Projektformular!AC33</f>
        <v>0</v>
      </c>
      <c r="C92" s="17" t="b">
        <f>ISBLANK(Projektformular!BH12)</f>
        <v>1</v>
      </c>
      <c r="D92" s="17" t="e">
        <f>IF(Projektformular!BJ12&gt;=Berechnungen!A92,Dropdown!A19,Dropdown!A20)</f>
        <v>#DIV/0!</v>
      </c>
    </row>
    <row r="93" spans="1:18" x14ac:dyDescent="0.25">
      <c r="D93" s="17" t="s">
        <v>303</v>
      </c>
    </row>
    <row r="94" spans="1:18" x14ac:dyDescent="0.25">
      <c r="D94" s="17" t="str">
        <f>IF(Projektformular!BT12&gt;=30,Dropdown!A19,Dropdown!A20)</f>
        <v>Nein</v>
      </c>
    </row>
    <row r="95" spans="1:18" x14ac:dyDescent="0.25">
      <c r="D95" s="17" t="e">
        <f>IF(AND(D92=Dropdown!A20,D94=Dropdown!A20),1,2)</f>
        <v>#DIV/0!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BD-1E4C-401E-A267-291AC64B578A}">
  <sheetPr codeName="Tabelle5"/>
  <dimension ref="A1:I113"/>
  <sheetViews>
    <sheetView topLeftCell="A11" workbookViewId="0">
      <selection activeCell="E32" sqref="E32"/>
    </sheetView>
  </sheetViews>
  <sheetFormatPr baseColWidth="10" defaultColWidth="10.640625" defaultRowHeight="10.3" x14ac:dyDescent="0.25"/>
  <cols>
    <col min="1" max="1" width="54.140625" style="185" bestFit="1" customWidth="1"/>
    <col min="2" max="2" width="17.640625" style="185" bestFit="1" customWidth="1"/>
    <col min="3" max="3" width="10.35546875" style="185" bestFit="1" customWidth="1"/>
    <col min="4" max="4" width="11.42578125" style="185" bestFit="1" customWidth="1"/>
    <col min="5" max="5" width="25.42578125" style="185" bestFit="1" customWidth="1"/>
    <col min="6" max="6" width="11.42578125" style="185" bestFit="1" customWidth="1"/>
    <col min="7" max="7" width="24.7109375" style="185" bestFit="1" customWidth="1"/>
    <col min="8" max="16384" width="10.640625" style="185"/>
  </cols>
  <sheetData>
    <row r="1" spans="1:9" s="184" customFormat="1" x14ac:dyDescent="0.25">
      <c r="A1" s="184" t="s">
        <v>11</v>
      </c>
    </row>
    <row r="2" spans="1:9" x14ac:dyDescent="0.25">
      <c r="A2" s="185" t="str">
        <f>Text!C17</f>
        <v>Planer</v>
      </c>
    </row>
    <row r="3" spans="1:9" x14ac:dyDescent="0.25">
      <c r="A3" s="185" t="str">
        <f>Text!C18</f>
        <v>Installateur</v>
      </c>
    </row>
    <row r="4" spans="1:9" x14ac:dyDescent="0.25">
      <c r="A4" s="185" t="str">
        <f>Text!C19</f>
        <v>Architekt</v>
      </c>
    </row>
    <row r="5" spans="1:9" x14ac:dyDescent="0.25">
      <c r="A5" s="185" t="str">
        <f>Text!C20</f>
        <v>Bauherr</v>
      </c>
    </row>
    <row r="6" spans="1:9" x14ac:dyDescent="0.25">
      <c r="A6" s="185" t="str">
        <f>Text!C21</f>
        <v>Sonstige:</v>
      </c>
    </row>
    <row r="8" spans="1:9" x14ac:dyDescent="0.25">
      <c r="A8" s="184" t="s">
        <v>37</v>
      </c>
      <c r="I8" s="184"/>
    </row>
    <row r="9" spans="1:9" x14ac:dyDescent="0.25">
      <c r="A9" s="186" t="str">
        <f>IF(A10=1,"D",IF(A10=2,"F",IF(A10=3,"I","E")))</f>
        <v>D</v>
      </c>
    </row>
    <row r="10" spans="1:9" x14ac:dyDescent="0.25">
      <c r="A10" s="186">
        <v>1</v>
      </c>
    </row>
    <row r="11" spans="1:9" x14ac:dyDescent="0.25">
      <c r="A11" s="186" t="s">
        <v>31</v>
      </c>
    </row>
    <row r="12" spans="1:9" x14ac:dyDescent="0.25">
      <c r="A12" s="186" t="s">
        <v>32</v>
      </c>
    </row>
    <row r="13" spans="1:9" x14ac:dyDescent="0.25">
      <c r="A13" s="186" t="s">
        <v>99</v>
      </c>
    </row>
    <row r="14" spans="1:9" x14ac:dyDescent="0.25">
      <c r="A14" s="186" t="s">
        <v>33</v>
      </c>
    </row>
    <row r="15" spans="1:9" x14ac:dyDescent="0.25">
      <c r="A15" s="186" t="s">
        <v>34</v>
      </c>
    </row>
    <row r="16" spans="1:9" x14ac:dyDescent="0.25">
      <c r="A16" s="186" t="s">
        <v>35</v>
      </c>
    </row>
    <row r="17" spans="1:7" x14ac:dyDescent="0.25">
      <c r="A17" s="186" t="s">
        <v>36</v>
      </c>
    </row>
    <row r="19" spans="1:7" x14ac:dyDescent="0.25">
      <c r="A19" s="185" t="str">
        <f>Text!C2</f>
        <v>Ja</v>
      </c>
    </row>
    <row r="20" spans="1:7" x14ac:dyDescent="0.25">
      <c r="A20" s="185" t="str">
        <f>Text!C3</f>
        <v>Nein</v>
      </c>
    </row>
    <row r="22" spans="1:7" x14ac:dyDescent="0.25">
      <c r="A22" s="184" t="s">
        <v>42</v>
      </c>
      <c r="B22" s="184"/>
      <c r="C22" s="184"/>
      <c r="D22" s="184"/>
      <c r="E22" s="184"/>
      <c r="G22" s="185" t="str">
        <f>Projektformular!G51</f>
        <v>Prüfstelle QMmini, c/o Verenum AG, Daniel Zaugg</v>
      </c>
    </row>
    <row r="23" spans="1:7" x14ac:dyDescent="0.25">
      <c r="A23" s="307" t="s">
        <v>44</v>
      </c>
      <c r="B23" s="185" t="s">
        <v>8</v>
      </c>
      <c r="C23" s="185" t="s">
        <v>9</v>
      </c>
      <c r="D23" s="185" t="s">
        <v>18</v>
      </c>
      <c r="E23" s="187" t="s">
        <v>1441</v>
      </c>
      <c r="F23" s="185" t="s">
        <v>1319</v>
      </c>
      <c r="G23" s="185" t="str">
        <f>IF(G22=A26,F26,IF(G22=A24,F24,IF(G22=A23,F23,F25)))</f>
        <v>Zaugg</v>
      </c>
    </row>
    <row r="24" spans="1:7" x14ac:dyDescent="0.25">
      <c r="A24" s="307" t="s">
        <v>45</v>
      </c>
      <c r="B24" s="185" t="s">
        <v>8</v>
      </c>
      <c r="C24" s="185" t="s">
        <v>9</v>
      </c>
      <c r="D24" s="185" t="s">
        <v>43</v>
      </c>
      <c r="E24" s="187" t="s">
        <v>1441</v>
      </c>
      <c r="F24" s="185" t="s">
        <v>1320</v>
      </c>
    </row>
    <row r="25" spans="1:7" x14ac:dyDescent="0.25">
      <c r="A25" s="307" t="s">
        <v>1454</v>
      </c>
      <c r="B25" s="185" t="s">
        <v>8</v>
      </c>
      <c r="C25" s="185" t="s">
        <v>9</v>
      </c>
      <c r="D25" s="185" t="s">
        <v>1455</v>
      </c>
      <c r="E25" s="187" t="s">
        <v>1441</v>
      </c>
      <c r="F25" s="185" t="s">
        <v>1456</v>
      </c>
    </row>
    <row r="26" spans="1:7" x14ac:dyDescent="0.25">
      <c r="A26" s="307" t="s">
        <v>46</v>
      </c>
      <c r="B26" s="185" t="s">
        <v>8</v>
      </c>
      <c r="C26" s="185" t="s">
        <v>9</v>
      </c>
      <c r="D26" s="185" t="s">
        <v>1457</v>
      </c>
      <c r="E26" s="187" t="s">
        <v>1441</v>
      </c>
      <c r="F26" s="185" t="s">
        <v>1321</v>
      </c>
    </row>
    <row r="28" spans="1:7" x14ac:dyDescent="0.25">
      <c r="A28" s="184" t="s">
        <v>76</v>
      </c>
    </row>
    <row r="29" spans="1:7" x14ac:dyDescent="0.25">
      <c r="A29" s="185" t="str">
        <f>Text!C98</f>
        <v>Mittelland</v>
      </c>
    </row>
    <row r="30" spans="1:7" x14ac:dyDescent="0.25">
      <c r="A30" s="185" t="str">
        <f>Text!C99</f>
        <v>Bergregion</v>
      </c>
    </row>
    <row r="31" spans="1:7" x14ac:dyDescent="0.25">
      <c r="A31" s="185" t="str">
        <f>Text!C100</f>
        <v>Südschweiz</v>
      </c>
    </row>
    <row r="33" spans="1:1" x14ac:dyDescent="0.25">
      <c r="A33" s="184" t="s">
        <v>675</v>
      </c>
    </row>
    <row r="34" spans="1:1" x14ac:dyDescent="0.25">
      <c r="A34" s="185" t="str">
        <f>Text!C105</f>
        <v>Keine</v>
      </c>
    </row>
    <row r="35" spans="1:1" x14ac:dyDescent="0.25">
      <c r="A35" s="185" t="str">
        <f>Text!C106</f>
        <v>Kanton</v>
      </c>
    </row>
    <row r="36" spans="1:1" x14ac:dyDescent="0.25">
      <c r="A36" s="185" t="str">
        <f>Text!C107</f>
        <v>Energie Zukunft Schweiz</v>
      </c>
    </row>
    <row r="37" spans="1:1" x14ac:dyDescent="0.25">
      <c r="A37" s="185" t="str">
        <f>Text!C108</f>
        <v>Sonstige:</v>
      </c>
    </row>
    <row r="39" spans="1:1" x14ac:dyDescent="0.25">
      <c r="A39" s="184" t="s">
        <v>87</v>
      </c>
    </row>
    <row r="40" spans="1:1" x14ac:dyDescent="0.25">
      <c r="A40" s="185" t="str">
        <f>Text!C132</f>
        <v>Einkesselanlage</v>
      </c>
    </row>
    <row r="41" spans="1:1" x14ac:dyDescent="0.25">
      <c r="A41" s="185" t="str">
        <f>Text!C133</f>
        <v>Mehrkesselanlage</v>
      </c>
    </row>
    <row r="43" spans="1:1" x14ac:dyDescent="0.25">
      <c r="A43" s="184" t="s">
        <v>1220</v>
      </c>
    </row>
    <row r="44" spans="1:1" x14ac:dyDescent="0.25">
      <c r="A44" s="185" t="str">
        <f>Text!C288</f>
        <v>Nein</v>
      </c>
    </row>
    <row r="45" spans="1:1" x14ac:dyDescent="0.25">
      <c r="A45" s="185" t="str">
        <f>Text!C289</f>
        <v>Solarthermie</v>
      </c>
    </row>
    <row r="46" spans="1:1" x14ac:dyDescent="0.25">
      <c r="A46" s="185" t="str">
        <f>Text!C291</f>
        <v>Andere:</v>
      </c>
    </row>
    <row r="48" spans="1:1" x14ac:dyDescent="0.25">
      <c r="A48" s="184" t="s">
        <v>847</v>
      </c>
    </row>
    <row r="49" spans="1:1" x14ac:dyDescent="0.25">
      <c r="A49" s="185" t="str">
        <f>Text!C135</f>
        <v>Elektroabscheider integriert</v>
      </c>
    </row>
    <row r="50" spans="1:1" x14ac:dyDescent="0.25">
      <c r="A50" s="185" t="str">
        <f>Text!C136</f>
        <v>Elektroabscheider separat</v>
      </c>
    </row>
    <row r="51" spans="1:1" x14ac:dyDescent="0.25">
      <c r="A51" s="185" t="str">
        <f>Text!C137</f>
        <v>kein Abscheider vorgesehen*</v>
      </c>
    </row>
    <row r="52" spans="1:1" x14ac:dyDescent="0.25">
      <c r="A52" s="185" t="str">
        <f>Text!C138</f>
        <v>Sonstige:</v>
      </c>
    </row>
    <row r="54" spans="1:1" x14ac:dyDescent="0.25">
      <c r="A54" s="184" t="s">
        <v>88</v>
      </c>
    </row>
    <row r="55" spans="1:1" x14ac:dyDescent="0.25">
      <c r="A55" s="185" t="str">
        <f>Text!C142</f>
        <v>Pellets</v>
      </c>
    </row>
    <row r="56" spans="1:1" x14ac:dyDescent="0.25">
      <c r="A56" s="185" t="str">
        <f>Text!C143</f>
        <v>Holzhackschnitzel, tiefer Winter M &lt; 50%, sonst M &lt; 35%**</v>
      </c>
    </row>
    <row r="57" spans="1:1" x14ac:dyDescent="0.25">
      <c r="A57" s="185" t="str">
        <f>Text!C144</f>
        <v>Holzhackschnitzel, ganzjährig M &lt; 35%</v>
      </c>
    </row>
    <row r="59" spans="1:1" x14ac:dyDescent="0.25">
      <c r="A59" s="184" t="s">
        <v>230</v>
      </c>
    </row>
    <row r="60" spans="1:1" x14ac:dyDescent="0.25">
      <c r="A60" s="185" t="str">
        <f>Text!C153</f>
        <v>Bestand</v>
      </c>
    </row>
    <row r="61" spans="1:1" x14ac:dyDescent="0.25">
      <c r="A61" s="185" t="str">
        <f>Text!C154</f>
        <v>Neubau</v>
      </c>
    </row>
    <row r="63" spans="1:1" x14ac:dyDescent="0.25">
      <c r="A63" s="184" t="s">
        <v>107</v>
      </c>
    </row>
    <row r="64" spans="1:1" x14ac:dyDescent="0.25">
      <c r="A64" s="185" t="str">
        <f>Text!C155</f>
        <v>Wohnen mit WW</v>
      </c>
    </row>
    <row r="65" spans="1:1" x14ac:dyDescent="0.25">
      <c r="A65" s="185" t="str">
        <f>Text!C156</f>
        <v>Wohnen o. WW</v>
      </c>
    </row>
    <row r="66" spans="1:1" x14ac:dyDescent="0.25">
      <c r="A66" s="185" t="str">
        <f>Text!C157</f>
        <v>Schule o. WW</v>
      </c>
    </row>
    <row r="67" spans="1:1" x14ac:dyDescent="0.25">
      <c r="A67" s="185" t="str">
        <f>Text!C158</f>
        <v>Verwaltung o. WW</v>
      </c>
    </row>
    <row r="68" spans="1:1" x14ac:dyDescent="0.25">
      <c r="A68" s="185" t="str">
        <f>Text!C159</f>
        <v>WW separat</v>
      </c>
    </row>
    <row r="70" spans="1:1" x14ac:dyDescent="0.25">
      <c r="A70" s="184" t="s">
        <v>108</v>
      </c>
    </row>
    <row r="71" spans="1:1" x14ac:dyDescent="0.25">
      <c r="A71" s="185" t="str">
        <f>Text!C160</f>
        <v>wenig</v>
      </c>
    </row>
    <row r="72" spans="1:1" x14ac:dyDescent="0.25">
      <c r="A72" s="185" t="str">
        <f>Text!C161</f>
        <v>gut</v>
      </c>
    </row>
    <row r="73" spans="1:1" x14ac:dyDescent="0.25">
      <c r="A73" s="185" t="str">
        <f>Text!C162</f>
        <v>sehr gut</v>
      </c>
    </row>
    <row r="75" spans="1:1" x14ac:dyDescent="0.25">
      <c r="A75" s="184" t="s">
        <v>184</v>
      </c>
    </row>
    <row r="76" spans="1:1" x14ac:dyDescent="0.25">
      <c r="A76" s="185" t="str">
        <f>Text!C220</f>
        <v>In Ordnung</v>
      </c>
    </row>
    <row r="77" spans="1:1" x14ac:dyDescent="0.25">
      <c r="A77" s="185" t="str">
        <f>Text!C221</f>
        <v>Zu klein</v>
      </c>
    </row>
    <row r="78" spans="1:1" x14ac:dyDescent="0.25">
      <c r="A78" s="185" t="str">
        <f>Text!C222</f>
        <v>Überdimensioniert</v>
      </c>
    </row>
    <row r="80" spans="1:1" x14ac:dyDescent="0.25">
      <c r="A80" s="184" t="s">
        <v>174</v>
      </c>
    </row>
    <row r="81" spans="1:3" x14ac:dyDescent="0.25">
      <c r="A81" s="185" t="str">
        <f>Text!C252</f>
        <v>Brennstofflager zu klein</v>
      </c>
    </row>
    <row r="82" spans="1:3" x14ac:dyDescent="0.25">
      <c r="A82" s="185" t="str">
        <f>Text!C253</f>
        <v>Brennstofflager grösser als Jahresbedarf</v>
      </c>
    </row>
    <row r="83" spans="1:3" x14ac:dyDescent="0.25">
      <c r="A83" s="185" t="str">
        <f>Text!C254</f>
        <v>Brennstofflager grösser als Empfehlung für Holzhackschnitzel</v>
      </c>
    </row>
    <row r="84" spans="1:3" x14ac:dyDescent="0.25">
      <c r="A84" s="185" t="str">
        <f>Text!C255</f>
        <v>Brennstofflager entspricht empfohlener Grösse für Holzhackschnitzel</v>
      </c>
    </row>
    <row r="85" spans="1:3" x14ac:dyDescent="0.25">
      <c r="A85" s="185" t="str">
        <f>Text!C256</f>
        <v>Brennstofflager entspricht empfohlener Grösse für Pellets</v>
      </c>
    </row>
    <row r="87" spans="1:3" x14ac:dyDescent="0.25">
      <c r="A87" s="184" t="str">
        <f>Text!C70</f>
        <v xml:space="preserve">Kanton </v>
      </c>
    </row>
    <row r="88" spans="1:3" x14ac:dyDescent="0.25">
      <c r="A88" s="185" t="str">
        <f>Text!C71</f>
        <v>Aargau</v>
      </c>
      <c r="B88" s="185" t="s">
        <v>643</v>
      </c>
      <c r="C88" s="185" t="e">
        <f>VLOOKUP(Projektformular!AA13,Dropdown!A88:B113,2)</f>
        <v>#N/A</v>
      </c>
    </row>
    <row r="89" spans="1:3" x14ac:dyDescent="0.25">
      <c r="A89" s="185" t="str">
        <f>Text!C72</f>
        <v>Appenzell Ausserrhoden</v>
      </c>
      <c r="B89" s="185" t="s">
        <v>648</v>
      </c>
    </row>
    <row r="90" spans="1:3" x14ac:dyDescent="0.25">
      <c r="A90" s="185" t="str">
        <f>Text!C73</f>
        <v>Appenzell Innerrhoden</v>
      </c>
      <c r="B90" s="185" t="s">
        <v>1317</v>
      </c>
    </row>
    <row r="91" spans="1:3" x14ac:dyDescent="0.25">
      <c r="A91" s="185" t="str">
        <f>Text!C74</f>
        <v>Basel-Landschaft</v>
      </c>
      <c r="B91" s="185" t="s">
        <v>1316</v>
      </c>
    </row>
    <row r="92" spans="1:3" x14ac:dyDescent="0.25">
      <c r="A92" s="185" t="str">
        <f>Text!C75</f>
        <v>Basel-Stadt</v>
      </c>
      <c r="B92" s="185" t="s">
        <v>649</v>
      </c>
    </row>
    <row r="93" spans="1:3" x14ac:dyDescent="0.25">
      <c r="A93" s="185" t="str">
        <f>Text!C76</f>
        <v>Bern</v>
      </c>
      <c r="B93" s="185" t="s">
        <v>650</v>
      </c>
    </row>
    <row r="94" spans="1:3" x14ac:dyDescent="0.25">
      <c r="A94" s="185" t="str">
        <f>Text!C77</f>
        <v>Freiburg</v>
      </c>
      <c r="B94" s="185" t="s">
        <v>651</v>
      </c>
    </row>
    <row r="95" spans="1:3" x14ac:dyDescent="0.25">
      <c r="A95" s="185" t="str">
        <f>Text!C78</f>
        <v>Genf</v>
      </c>
      <c r="B95" s="185" t="s">
        <v>652</v>
      </c>
    </row>
    <row r="96" spans="1:3" x14ac:dyDescent="0.25">
      <c r="A96" s="185" t="str">
        <f>Text!C79</f>
        <v>Glarus</v>
      </c>
      <c r="B96" s="185" t="s">
        <v>653</v>
      </c>
    </row>
    <row r="97" spans="1:2" x14ac:dyDescent="0.25">
      <c r="A97" s="185" t="str">
        <f>Text!C80</f>
        <v>Graubünden</v>
      </c>
      <c r="B97" s="185" t="s">
        <v>644</v>
      </c>
    </row>
    <row r="98" spans="1:2" x14ac:dyDescent="0.25">
      <c r="A98" s="185" t="str">
        <f>Text!C81</f>
        <v>Jura</v>
      </c>
      <c r="B98" s="185" t="s">
        <v>654</v>
      </c>
    </row>
    <row r="99" spans="1:2" x14ac:dyDescent="0.25">
      <c r="A99" s="185" t="str">
        <f>Text!C82</f>
        <v>Luzern</v>
      </c>
      <c r="B99" s="185" t="s">
        <v>432</v>
      </c>
    </row>
    <row r="100" spans="1:2" x14ac:dyDescent="0.25">
      <c r="A100" s="185" t="str">
        <f>Text!C83</f>
        <v>Neuenburg</v>
      </c>
      <c r="B100" s="185" t="s">
        <v>645</v>
      </c>
    </row>
    <row r="101" spans="1:2" x14ac:dyDescent="0.25">
      <c r="A101" s="185" t="str">
        <f>Text!C84</f>
        <v>Nidwalden</v>
      </c>
      <c r="B101" s="185" t="s">
        <v>646</v>
      </c>
    </row>
    <row r="102" spans="1:2" x14ac:dyDescent="0.25">
      <c r="A102" s="185" t="str">
        <f>Text!C85</f>
        <v>Obwalden</v>
      </c>
      <c r="B102" s="185" t="s">
        <v>655</v>
      </c>
    </row>
    <row r="103" spans="1:2" x14ac:dyDescent="0.25">
      <c r="A103" s="185" t="str">
        <f>Text!C86</f>
        <v>Schaffhausen</v>
      </c>
      <c r="B103" s="185" t="s">
        <v>656</v>
      </c>
    </row>
    <row r="104" spans="1:2" x14ac:dyDescent="0.25">
      <c r="A104" s="185" t="str">
        <f>Text!C87</f>
        <v>Schwyz</v>
      </c>
      <c r="B104" s="185" t="s">
        <v>665</v>
      </c>
    </row>
    <row r="105" spans="1:2" x14ac:dyDescent="0.25">
      <c r="A105" s="185" t="str">
        <f>Text!C88</f>
        <v>Solothurn</v>
      </c>
      <c r="B105" s="185" t="s">
        <v>647</v>
      </c>
    </row>
    <row r="106" spans="1:2" x14ac:dyDescent="0.25">
      <c r="A106" s="185" t="str">
        <f>Text!C89</f>
        <v>St. Gallen</v>
      </c>
      <c r="B106" s="185" t="s">
        <v>658</v>
      </c>
    </row>
    <row r="107" spans="1:2" x14ac:dyDescent="0.25">
      <c r="A107" s="185" t="str">
        <f>Text!C90</f>
        <v>Tessin</v>
      </c>
      <c r="B107" s="185" t="s">
        <v>659</v>
      </c>
    </row>
    <row r="108" spans="1:2" x14ac:dyDescent="0.25">
      <c r="A108" s="185" t="str">
        <f>Text!C91</f>
        <v>Thurgau</v>
      </c>
      <c r="B108" s="185" t="s">
        <v>660</v>
      </c>
    </row>
    <row r="109" spans="1:2" x14ac:dyDescent="0.25">
      <c r="A109" s="185" t="str">
        <f>Text!C92</f>
        <v>Uri</v>
      </c>
      <c r="B109" s="185" t="s">
        <v>657</v>
      </c>
    </row>
    <row r="110" spans="1:2" x14ac:dyDescent="0.25">
      <c r="A110" s="185" t="str">
        <f>Text!C93</f>
        <v>Waadt</v>
      </c>
      <c r="B110" s="185" t="s">
        <v>662</v>
      </c>
    </row>
    <row r="111" spans="1:2" x14ac:dyDescent="0.25">
      <c r="A111" s="185" t="str">
        <f>Text!C94</f>
        <v>Wallis</v>
      </c>
      <c r="B111" s="185" t="s">
        <v>661</v>
      </c>
    </row>
    <row r="112" spans="1:2" x14ac:dyDescent="0.25">
      <c r="A112" s="185" t="str">
        <f>Text!C95</f>
        <v>Zug</v>
      </c>
      <c r="B112" s="185" t="s">
        <v>663</v>
      </c>
    </row>
    <row r="113" spans="1:2" x14ac:dyDescent="0.25">
      <c r="A113" s="185" t="str">
        <f>Text!C96</f>
        <v>Zürich</v>
      </c>
      <c r="B113" s="185" t="s">
        <v>664</v>
      </c>
    </row>
  </sheetData>
  <phoneticPr fontId="7" type="noConversion"/>
  <hyperlinks>
    <hyperlink ref="E24" r:id="rId1" xr:uid="{612EE0FD-1E90-4A74-973A-0008E64965A6}"/>
    <hyperlink ref="E26" r:id="rId2" xr:uid="{307B1B0F-A491-464F-9DC0-2653A24189C7}"/>
    <hyperlink ref="E23" r:id="rId3" xr:uid="{9098FC71-F7CB-400E-AD7B-82F00B55CA76}"/>
    <hyperlink ref="E25" r:id="rId4" xr:uid="{F616DB24-A602-496D-A4F6-42DA1A1B2C6C}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627-DD72-4358-A3F0-EAFD69B0F913}">
  <sheetPr codeName="Tabelle6"/>
  <dimension ref="G1:H19"/>
  <sheetViews>
    <sheetView topLeftCell="A7" zoomScaleNormal="100" workbookViewId="0">
      <selection activeCell="I13" sqref="I13"/>
    </sheetView>
  </sheetViews>
  <sheetFormatPr baseColWidth="10" defaultColWidth="10.640625" defaultRowHeight="15.9" x14ac:dyDescent="0.45"/>
  <cols>
    <col min="1" max="1" width="73.0703125" style="295" customWidth="1"/>
    <col min="2" max="2" width="35.92578125" style="295" customWidth="1"/>
    <col min="3" max="7" width="10.640625" style="295"/>
    <col min="8" max="8" width="75.7109375" style="295" customWidth="1"/>
    <col min="9" max="16384" width="10.640625" style="295"/>
  </cols>
  <sheetData>
    <row r="1" spans="7:8" s="320" customFormat="1" ht="390" customHeight="1" x14ac:dyDescent="0.45">
      <c r="G1" s="319">
        <f>IF(Projektformular!AC36=Dropdown!A40,1,2)</f>
        <v>2</v>
      </c>
    </row>
    <row r="2" spans="7:8" s="320" customFormat="1" ht="390" customHeight="1" x14ac:dyDescent="0.45">
      <c r="G2" s="319"/>
    </row>
    <row r="3" spans="7:8" s="320" customFormat="1" ht="5.05" customHeight="1" x14ac:dyDescent="0.45">
      <c r="G3" s="319"/>
    </row>
    <row r="4" spans="7:8" ht="5.05" customHeight="1" x14ac:dyDescent="0.45">
      <c r="G4" s="317"/>
    </row>
    <row r="5" spans="7:8" ht="106" customHeight="1" x14ac:dyDescent="0.45">
      <c r="G5" s="295">
        <f>Dropdown!A10+4</f>
        <v>5</v>
      </c>
      <c r="H5" s="318"/>
    </row>
    <row r="6" spans="7:8" ht="105.55" customHeight="1" x14ac:dyDescent="0.45"/>
    <row r="7" spans="7:8" ht="106" customHeight="1" x14ac:dyDescent="0.45"/>
    <row r="8" spans="7:8" ht="106" customHeight="1" x14ac:dyDescent="0.45"/>
    <row r="9" spans="7:8" ht="65.05" customHeight="1" x14ac:dyDescent="0.45">
      <c r="G9" s="295">
        <f>Dropdown!A10+8</f>
        <v>9</v>
      </c>
      <c r="H9" s="318"/>
    </row>
    <row r="10" spans="7:8" ht="65.05" customHeight="1" x14ac:dyDescent="0.45"/>
    <row r="11" spans="7:8" ht="65.05" customHeight="1" x14ac:dyDescent="0.45"/>
    <row r="12" spans="7:8" ht="65.05" customHeight="1" x14ac:dyDescent="0.45"/>
    <row r="19" spans="7:7" x14ac:dyDescent="0.45">
      <c r="G19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E356-2244-47C9-A1D5-55780C112317}">
  <sheetPr codeName="Tabelle7"/>
  <dimension ref="A1:H262"/>
  <sheetViews>
    <sheetView topLeftCell="A76" workbookViewId="0">
      <selection activeCell="I115" sqref="I115"/>
    </sheetView>
  </sheetViews>
  <sheetFormatPr baseColWidth="10" defaultColWidth="10.640625" defaultRowHeight="12.45" x14ac:dyDescent="0.3"/>
  <cols>
    <col min="1" max="1" width="23.0703125" style="249" bestFit="1" customWidth="1"/>
    <col min="2" max="2" width="10.7109375" style="249" bestFit="1" customWidth="1"/>
    <col min="3" max="3" width="10.7109375" style="234" customWidth="1"/>
    <col min="4" max="4" width="23.0703125" style="249" customWidth="1"/>
    <col min="5" max="5" width="45.140625" style="234" customWidth="1"/>
    <col min="6" max="6" width="12" style="234" customWidth="1"/>
    <col min="7" max="7" width="46.35546875" style="234" customWidth="1"/>
    <col min="8" max="8" width="28.42578125" style="207" customWidth="1"/>
    <col min="9" max="16384" width="10.640625" style="249"/>
  </cols>
  <sheetData>
    <row r="1" spans="1:8" s="289" customFormat="1" ht="49.75" x14ac:dyDescent="0.3">
      <c r="A1" s="249"/>
      <c r="B1" s="289" t="s">
        <v>1280</v>
      </c>
      <c r="C1" s="313" t="s">
        <v>1326</v>
      </c>
      <c r="D1" s="289" t="s">
        <v>11</v>
      </c>
      <c r="E1" s="289" t="s">
        <v>1281</v>
      </c>
      <c r="G1" s="289" t="s">
        <v>1283</v>
      </c>
      <c r="H1" s="290"/>
    </row>
    <row r="2" spans="1:8" x14ac:dyDescent="0.3">
      <c r="B2" s="242"/>
      <c r="C2" s="234" t="s">
        <v>1328</v>
      </c>
      <c r="D2" s="249" t="s">
        <v>1278</v>
      </c>
      <c r="E2" s="234" t="s">
        <v>433</v>
      </c>
      <c r="G2" s="234" t="s">
        <v>433</v>
      </c>
      <c r="H2" s="301">
        <f>Projektformular!D58</f>
        <v>0</v>
      </c>
    </row>
    <row r="3" spans="1:8" x14ac:dyDescent="0.3">
      <c r="B3" s="242"/>
      <c r="C3" s="234" t="s">
        <v>1328</v>
      </c>
      <c r="D3" s="249" t="s">
        <v>1278</v>
      </c>
      <c r="E3" s="235" t="s">
        <v>434</v>
      </c>
      <c r="F3" s="235"/>
      <c r="G3" s="235" t="s">
        <v>434</v>
      </c>
      <c r="H3" s="301">
        <f>Projektformular!D58</f>
        <v>0</v>
      </c>
    </row>
    <row r="4" spans="1:8" x14ac:dyDescent="0.3">
      <c r="B4" s="242"/>
      <c r="C4" s="234" t="s">
        <v>1328</v>
      </c>
      <c r="D4" s="249" t="s">
        <v>1278</v>
      </c>
      <c r="E4" s="234" t="s">
        <v>435</v>
      </c>
      <c r="G4" s="234" t="s">
        <v>435</v>
      </c>
      <c r="H4" s="314"/>
    </row>
    <row r="5" spans="1:8" x14ac:dyDescent="0.3">
      <c r="B5" s="242"/>
      <c r="C5" s="234" t="s">
        <v>1328</v>
      </c>
      <c r="D5" s="249" t="s">
        <v>1278</v>
      </c>
      <c r="E5" s="235" t="s">
        <v>436</v>
      </c>
      <c r="F5" s="235"/>
      <c r="G5" s="235" t="s">
        <v>436</v>
      </c>
      <c r="H5" s="315"/>
    </row>
    <row r="6" spans="1:8" x14ac:dyDescent="0.3">
      <c r="A6" s="249" t="s">
        <v>1277</v>
      </c>
      <c r="B6" s="242" t="s">
        <v>1434</v>
      </c>
      <c r="C6" s="234" t="s">
        <v>1327</v>
      </c>
      <c r="D6" s="249" t="s">
        <v>1434</v>
      </c>
      <c r="E6" s="235" t="s">
        <v>437</v>
      </c>
      <c r="F6" s="235"/>
      <c r="G6" s="235" t="s">
        <v>437</v>
      </c>
    </row>
    <row r="7" spans="1:8" x14ac:dyDescent="0.3">
      <c r="A7" s="249" t="s">
        <v>1278</v>
      </c>
      <c r="B7" s="242"/>
      <c r="C7" s="234" t="s">
        <v>1327</v>
      </c>
      <c r="D7" s="249" t="s">
        <v>1279</v>
      </c>
      <c r="E7" s="236" t="s">
        <v>438</v>
      </c>
      <c r="F7" s="236"/>
      <c r="G7" s="236" t="s">
        <v>438</v>
      </c>
      <c r="H7" s="209" t="str">
        <f>IF(ISBLANK(H52)=TRUE,"",IF($E$7&lt;H52,"nein","ja"))</f>
        <v>ja</v>
      </c>
    </row>
    <row r="8" spans="1:8" x14ac:dyDescent="0.3">
      <c r="A8" s="249" t="s">
        <v>1279</v>
      </c>
      <c r="B8" s="242" t="s">
        <v>1434</v>
      </c>
      <c r="C8" s="234" t="s">
        <v>1327</v>
      </c>
      <c r="D8" s="249" t="s">
        <v>1434</v>
      </c>
      <c r="E8" s="235" t="s">
        <v>439</v>
      </c>
      <c r="F8" s="235"/>
      <c r="G8" s="235" t="s">
        <v>439</v>
      </c>
    </row>
    <row r="9" spans="1:8" x14ac:dyDescent="0.3">
      <c r="A9" s="249" t="s">
        <v>1434</v>
      </c>
      <c r="B9" s="242"/>
      <c r="C9" s="234" t="s">
        <v>1328</v>
      </c>
      <c r="D9" s="249" t="s">
        <v>1279</v>
      </c>
      <c r="E9" s="236" t="s">
        <v>440</v>
      </c>
      <c r="F9" s="236"/>
      <c r="G9" s="236" t="s">
        <v>440</v>
      </c>
      <c r="H9" s="210">
        <f>IF(ISBLANK(H52)=TRUE,"",H52+365)</f>
        <v>365</v>
      </c>
    </row>
    <row r="10" spans="1:8" x14ac:dyDescent="0.3">
      <c r="B10" s="242"/>
      <c r="C10" s="234" t="s">
        <v>1327</v>
      </c>
      <c r="D10" s="249" t="s">
        <v>1279</v>
      </c>
      <c r="E10" s="236" t="s">
        <v>441</v>
      </c>
      <c r="F10" s="236"/>
      <c r="G10" s="236" t="s">
        <v>441</v>
      </c>
      <c r="H10" s="209">
        <f ca="1">IF(ISERROR(TODAY()-H9=TRUE),NA(),TODAY()-H9)</f>
        <v>45516</v>
      </c>
    </row>
    <row r="11" spans="1:8" x14ac:dyDescent="0.3">
      <c r="B11" s="242"/>
      <c r="C11" s="234" t="s">
        <v>1327</v>
      </c>
      <c r="D11" s="249" t="s">
        <v>1279</v>
      </c>
      <c r="E11" s="236" t="s">
        <v>441</v>
      </c>
      <c r="F11" s="236"/>
      <c r="G11" s="236" t="s">
        <v>441</v>
      </c>
      <c r="H11" s="209">
        <f ca="1">IF(ISERROR(H10)=TRUE,NA(),IF(H10&gt;=0,1,0))</f>
        <v>1</v>
      </c>
    </row>
    <row r="12" spans="1:8" x14ac:dyDescent="0.3">
      <c r="B12" s="242"/>
      <c r="C12" s="234" t="s">
        <v>1328</v>
      </c>
      <c r="D12" s="249" t="s">
        <v>1279</v>
      </c>
      <c r="E12" s="236" t="s">
        <v>442</v>
      </c>
      <c r="F12" s="236"/>
      <c r="G12" s="236" t="s">
        <v>442</v>
      </c>
      <c r="H12" s="210" t="str">
        <f ca="1">IF(AND(ISNUMBER(H4)=TRUE,H11=1),"ok",IF(AND(ISNUMBER(H4)=FALSE,H11=1),"Pendent","Abwarten"))</f>
        <v>Pendent</v>
      </c>
    </row>
    <row r="13" spans="1:8" x14ac:dyDescent="0.3">
      <c r="B13" s="242" t="s">
        <v>1434</v>
      </c>
      <c r="C13" s="234" t="s">
        <v>1327</v>
      </c>
      <c r="D13" s="249" t="s">
        <v>1279</v>
      </c>
      <c r="E13" s="236" t="s">
        <v>443</v>
      </c>
      <c r="F13" s="236"/>
      <c r="G13" s="291" t="s">
        <v>443</v>
      </c>
      <c r="H13" s="292" t="e">
        <f>IF(H94=0,"",IF(H94&lt;=200,"A",IF(H94&gt;200,"B","Abklären")))</f>
        <v>#DIV/0!</v>
      </c>
    </row>
    <row r="14" spans="1:8" x14ac:dyDescent="0.3">
      <c r="B14" s="242"/>
      <c r="E14" s="235"/>
      <c r="F14" s="235"/>
      <c r="G14" s="235"/>
    </row>
    <row r="15" spans="1:8" x14ac:dyDescent="0.3">
      <c r="B15" s="242"/>
      <c r="C15" s="234" t="s">
        <v>1327</v>
      </c>
      <c r="D15" s="249" t="s">
        <v>1278</v>
      </c>
      <c r="E15" s="235" t="s">
        <v>444</v>
      </c>
      <c r="F15" s="235"/>
      <c r="G15" s="235" t="s">
        <v>444</v>
      </c>
      <c r="H15" s="211"/>
    </row>
    <row r="16" spans="1:8" x14ac:dyDescent="0.3">
      <c r="B16" s="242"/>
      <c r="C16" s="234" t="s">
        <v>1327</v>
      </c>
      <c r="D16" s="249" t="s">
        <v>1278</v>
      </c>
      <c r="E16" s="235" t="s">
        <v>445</v>
      </c>
      <c r="F16" s="235"/>
      <c r="G16" s="235" t="s">
        <v>445</v>
      </c>
      <c r="H16" s="211"/>
    </row>
    <row r="17" spans="2:8" x14ac:dyDescent="0.3">
      <c r="B17" s="242"/>
      <c r="C17" s="234" t="s">
        <v>1327</v>
      </c>
      <c r="D17" s="249" t="s">
        <v>1278</v>
      </c>
      <c r="E17" s="237" t="s">
        <v>446</v>
      </c>
      <c r="F17" s="237"/>
      <c r="G17" s="237" t="s">
        <v>446</v>
      </c>
      <c r="H17" s="212">
        <f>Projektformular!C51</f>
        <v>0</v>
      </c>
    </row>
    <row r="18" spans="2:8" x14ac:dyDescent="0.3">
      <c r="B18" s="242"/>
      <c r="C18" s="234" t="s">
        <v>1327</v>
      </c>
      <c r="D18" s="249" t="s">
        <v>1278</v>
      </c>
      <c r="E18" s="235" t="s">
        <v>447</v>
      </c>
      <c r="F18" s="235"/>
      <c r="G18" s="235" t="s">
        <v>447</v>
      </c>
      <c r="H18" s="213" t="str">
        <f>Projektformular!E6</f>
        <v>Version 3.4-39</v>
      </c>
    </row>
    <row r="19" spans="2:8" x14ac:dyDescent="0.3">
      <c r="B19" s="242"/>
      <c r="C19" s="234" t="s">
        <v>1327</v>
      </c>
      <c r="D19" s="249" t="s">
        <v>1277</v>
      </c>
      <c r="E19" s="235" t="s">
        <v>78</v>
      </c>
      <c r="F19" s="235"/>
      <c r="G19" s="235" t="s">
        <v>78</v>
      </c>
      <c r="H19" s="302" t="e">
        <f>Dropdown!C88</f>
        <v>#N/A</v>
      </c>
    </row>
    <row r="20" spans="2:8" x14ac:dyDescent="0.3">
      <c r="B20" s="242"/>
      <c r="C20" s="234" t="s">
        <v>1327</v>
      </c>
      <c r="D20" s="249" t="s">
        <v>1279</v>
      </c>
      <c r="E20" s="235" t="s">
        <v>448</v>
      </c>
      <c r="F20" s="235"/>
      <c r="G20" s="235" t="s">
        <v>448</v>
      </c>
      <c r="H20" s="207" t="e">
        <f>IF(ISNUMBER(H2)=TRUE,H19,NA())</f>
        <v>#N/A</v>
      </c>
    </row>
    <row r="21" spans="2:8" x14ac:dyDescent="0.3">
      <c r="B21" s="242"/>
      <c r="C21" s="234" t="s">
        <v>1327</v>
      </c>
      <c r="D21" s="249" t="s">
        <v>1278</v>
      </c>
      <c r="E21" s="235" t="s">
        <v>449</v>
      </c>
      <c r="F21" s="235"/>
      <c r="G21" s="235" t="s">
        <v>449</v>
      </c>
    </row>
    <row r="22" spans="2:8" x14ac:dyDescent="0.3">
      <c r="B22" s="242"/>
      <c r="C22" s="234" t="s">
        <v>1329</v>
      </c>
      <c r="D22" s="249" t="s">
        <v>1277</v>
      </c>
      <c r="E22" s="238" t="s">
        <v>450</v>
      </c>
      <c r="F22" s="238"/>
      <c r="G22" s="238" t="s">
        <v>450</v>
      </c>
      <c r="H22" s="303">
        <f>Projektformular!AA12</f>
        <v>0</v>
      </c>
    </row>
    <row r="23" spans="2:8" x14ac:dyDescent="0.3">
      <c r="B23" s="242"/>
      <c r="C23" s="234" t="s">
        <v>1327</v>
      </c>
      <c r="D23" s="249" t="s">
        <v>1277</v>
      </c>
      <c r="E23" s="214" t="s">
        <v>13</v>
      </c>
      <c r="F23" s="214"/>
      <c r="G23" s="214" t="s">
        <v>13</v>
      </c>
      <c r="H23" s="214" t="str">
        <f>TEXT(Projektformular!G17,"")&amp;", "&amp;TEXT(Projektformular!G18,"")</f>
        <v xml:space="preserve">, </v>
      </c>
    </row>
    <row r="24" spans="2:8" x14ac:dyDescent="0.3">
      <c r="B24" s="242"/>
      <c r="C24" s="234" t="s">
        <v>1327</v>
      </c>
      <c r="D24" s="249" t="s">
        <v>1277</v>
      </c>
      <c r="E24" s="214" t="s">
        <v>17</v>
      </c>
      <c r="F24" s="214"/>
      <c r="G24" s="214" t="s">
        <v>17</v>
      </c>
      <c r="H24" s="214" t="str">
        <f>TEXT(Projektformular!G9,"")&amp;", "&amp;TEXT(Projektformular!G10,"")</f>
        <v xml:space="preserve">, </v>
      </c>
    </row>
    <row r="25" spans="2:8" x14ac:dyDescent="0.3">
      <c r="B25" s="242"/>
      <c r="C25" s="234" t="s">
        <v>1327</v>
      </c>
      <c r="D25" s="249" t="s">
        <v>1277</v>
      </c>
      <c r="E25" s="235" t="s">
        <v>451</v>
      </c>
      <c r="F25" s="235"/>
      <c r="G25" s="235" t="s">
        <v>451</v>
      </c>
      <c r="H25" s="207" t="str">
        <f>Dropdown!G23</f>
        <v>Zaugg</v>
      </c>
    </row>
    <row r="26" spans="2:8" x14ac:dyDescent="0.3">
      <c r="B26" s="242" t="s">
        <v>1285</v>
      </c>
      <c r="C26" s="234" t="s">
        <v>1329</v>
      </c>
      <c r="D26" s="249" t="s">
        <v>1277</v>
      </c>
      <c r="E26" s="239" t="s">
        <v>452</v>
      </c>
      <c r="F26" s="239"/>
      <c r="G26" s="239" t="s">
        <v>1284</v>
      </c>
      <c r="H26" s="304">
        <f>Projektformular!G22</f>
        <v>0</v>
      </c>
    </row>
    <row r="27" spans="2:8" x14ac:dyDescent="0.3">
      <c r="B27" s="242" t="s">
        <v>1434</v>
      </c>
      <c r="C27" s="234" t="s">
        <v>1327</v>
      </c>
      <c r="D27" s="249" t="s">
        <v>1434</v>
      </c>
      <c r="E27" s="235" t="s">
        <v>453</v>
      </c>
      <c r="F27" s="235"/>
      <c r="G27" s="235" t="s">
        <v>453</v>
      </c>
    </row>
    <row r="28" spans="2:8" x14ac:dyDescent="0.3">
      <c r="B28" s="242" t="s">
        <v>1434</v>
      </c>
      <c r="C28" s="234" t="s">
        <v>1327</v>
      </c>
      <c r="D28" s="249" t="s">
        <v>1434</v>
      </c>
      <c r="E28" s="235" t="s">
        <v>454</v>
      </c>
      <c r="F28" s="235"/>
      <c r="G28" s="235" t="s">
        <v>454</v>
      </c>
      <c r="H28" s="215"/>
    </row>
    <row r="29" spans="2:8" x14ac:dyDescent="0.3">
      <c r="B29" s="242" t="s">
        <v>1434</v>
      </c>
      <c r="C29" s="234" t="s">
        <v>1327</v>
      </c>
      <c r="D29" s="249" t="s">
        <v>1434</v>
      </c>
    </row>
    <row r="30" spans="2:8" x14ac:dyDescent="0.3">
      <c r="B30" s="242"/>
      <c r="E30" s="235"/>
      <c r="F30" s="235"/>
      <c r="G30" s="235"/>
      <c r="H30" s="215"/>
    </row>
    <row r="31" spans="2:8" x14ac:dyDescent="0.3">
      <c r="B31" s="242"/>
      <c r="C31" s="234" t="s">
        <v>1327</v>
      </c>
      <c r="E31" s="240" t="s">
        <v>455</v>
      </c>
      <c r="F31" s="240"/>
      <c r="G31" s="240" t="s">
        <v>455</v>
      </c>
      <c r="H31" s="216"/>
    </row>
    <row r="32" spans="2:8" x14ac:dyDescent="0.3">
      <c r="B32" s="242"/>
      <c r="C32" s="234" t="s">
        <v>1327</v>
      </c>
      <c r="D32" s="249" t="s">
        <v>1277</v>
      </c>
      <c r="E32" s="235" t="s">
        <v>29</v>
      </c>
      <c r="F32" s="235"/>
      <c r="G32" s="235" t="s">
        <v>29</v>
      </c>
      <c r="H32" s="215" t="str">
        <f>IF(Berechnungen!AV40&gt;1,"Nein","Ja")</f>
        <v>Ja</v>
      </c>
    </row>
    <row r="33" spans="2:8" x14ac:dyDescent="0.3">
      <c r="B33" s="242"/>
      <c r="C33" s="234" t="s">
        <v>1327</v>
      </c>
      <c r="D33" s="249" t="s">
        <v>1277</v>
      </c>
      <c r="E33" s="235" t="s">
        <v>21</v>
      </c>
      <c r="F33" s="235"/>
      <c r="G33" s="235" t="s">
        <v>21</v>
      </c>
      <c r="H33" s="215" t="e">
        <f>IF(1-(Projektformular!AZ37/Projektformular!BL23)&gt;=0.3,"Nein","Ja")</f>
        <v>#DIV/0!</v>
      </c>
    </row>
    <row r="34" spans="2:8" x14ac:dyDescent="0.3">
      <c r="B34" s="242"/>
      <c r="C34" s="234" t="s">
        <v>1327</v>
      </c>
      <c r="D34" s="249" t="s">
        <v>1277</v>
      </c>
      <c r="E34" s="235" t="s">
        <v>456</v>
      </c>
      <c r="F34" s="235"/>
      <c r="G34" s="235" t="s">
        <v>456</v>
      </c>
      <c r="H34" s="215" t="e">
        <f>IF(Projektformular!BL28=Text!C220,"Ja","Nein")</f>
        <v>#DIV/0!</v>
      </c>
    </row>
    <row r="35" spans="2:8" x14ac:dyDescent="0.3">
      <c r="B35" s="242"/>
      <c r="C35" s="234" t="s">
        <v>1327</v>
      </c>
      <c r="D35" s="249" t="s">
        <v>1277</v>
      </c>
      <c r="E35" s="235" t="s">
        <v>23</v>
      </c>
      <c r="F35" s="235"/>
      <c r="G35" s="235" t="s">
        <v>23</v>
      </c>
      <c r="H35" s="215" t="str">
        <f>IF(Projektformular!AC33=Dropdown!A20,"Ja",IF(Projektformular!BT12&lt;30,"Nein","Ja"))</f>
        <v>Nein</v>
      </c>
    </row>
    <row r="36" spans="2:8" x14ac:dyDescent="0.3">
      <c r="B36" s="242"/>
      <c r="C36" s="234" t="s">
        <v>1327</v>
      </c>
      <c r="D36" s="249" t="s">
        <v>1277</v>
      </c>
      <c r="E36" s="235" t="s">
        <v>24</v>
      </c>
      <c r="F36" s="235"/>
      <c r="G36" s="235" t="s">
        <v>24</v>
      </c>
      <c r="H36" s="215" t="e">
        <f>IF(Projektformular!AC33=Dropdown!A20,"Ja",IF(Berechnungen!D92=Dropdown!A20,"Nein","Ja"))</f>
        <v>#DIV/0!</v>
      </c>
    </row>
    <row r="37" spans="2:8" x14ac:dyDescent="0.3">
      <c r="B37" s="242"/>
      <c r="C37" s="234" t="s">
        <v>1327</v>
      </c>
      <c r="D37" s="249" t="s">
        <v>1277</v>
      </c>
      <c r="E37" s="235" t="s">
        <v>25</v>
      </c>
      <c r="F37" s="235"/>
      <c r="G37" s="235" t="s">
        <v>25</v>
      </c>
      <c r="H37" s="215" t="e">
        <f>IF(Projektformular!AC34=Dropdown!A20,"Ja",IF(Projektformular!BL42=Dropdown!A20,"Nein","Ja"))</f>
        <v>#VALUE!</v>
      </c>
    </row>
    <row r="38" spans="2:8" x14ac:dyDescent="0.3">
      <c r="B38" s="242"/>
      <c r="C38" s="234" t="s">
        <v>1327</v>
      </c>
      <c r="D38" s="249" t="s">
        <v>1277</v>
      </c>
      <c r="E38" s="235" t="s">
        <v>26</v>
      </c>
      <c r="F38" s="235"/>
      <c r="G38" s="235" t="s">
        <v>26</v>
      </c>
      <c r="H38" s="215" t="str">
        <f>IF(Projektformular!BL49=Dropdown!A20,"Nein","Ja")</f>
        <v>Nein</v>
      </c>
    </row>
    <row r="39" spans="2:8" x14ac:dyDescent="0.3">
      <c r="B39" s="242"/>
      <c r="C39" s="234" t="s">
        <v>1327</v>
      </c>
      <c r="D39" s="249" t="s">
        <v>1277</v>
      </c>
      <c r="E39" s="235" t="s">
        <v>27</v>
      </c>
      <c r="F39" s="235"/>
      <c r="G39" s="235" t="s">
        <v>27</v>
      </c>
      <c r="H39" s="215" t="e">
        <f>IF(OR(Projektformular!BL57=Text!C255, Projektformular!BL57=Text!C256),"Ja","Nein")</f>
        <v>#DIV/0!</v>
      </c>
    </row>
    <row r="40" spans="2:8" x14ac:dyDescent="0.3">
      <c r="B40" s="242" t="s">
        <v>1434</v>
      </c>
      <c r="C40" s="234" t="s">
        <v>1327</v>
      </c>
      <c r="D40" s="249" t="s">
        <v>1277</v>
      </c>
      <c r="E40" s="235" t="s">
        <v>457</v>
      </c>
      <c r="F40" s="235"/>
      <c r="G40" s="291" t="s">
        <v>457</v>
      </c>
      <c r="H40" s="215"/>
    </row>
    <row r="41" spans="2:8" x14ac:dyDescent="0.3">
      <c r="B41" s="242"/>
      <c r="C41" s="234" t="s">
        <v>1327</v>
      </c>
      <c r="D41" s="249" t="s">
        <v>1277</v>
      </c>
      <c r="E41" s="235" t="s">
        <v>458</v>
      </c>
      <c r="F41" s="235"/>
      <c r="G41" s="235" t="s">
        <v>458</v>
      </c>
      <c r="H41" s="215" t="s">
        <v>89</v>
      </c>
    </row>
    <row r="42" spans="2:8" x14ac:dyDescent="0.3">
      <c r="B42" s="242"/>
      <c r="C42" s="234" t="s">
        <v>1328</v>
      </c>
      <c r="D42" s="249" t="s">
        <v>1277</v>
      </c>
      <c r="E42" s="234" t="s">
        <v>459</v>
      </c>
      <c r="G42" s="234" t="s">
        <v>459</v>
      </c>
      <c r="H42" s="208">
        <f>Projektformular!D40</f>
        <v>0</v>
      </c>
    </row>
    <row r="43" spans="2:8" x14ac:dyDescent="0.3">
      <c r="B43" s="242"/>
    </row>
    <row r="44" spans="2:8" x14ac:dyDescent="0.3">
      <c r="B44" s="242"/>
      <c r="C44" s="234" t="s">
        <v>1327</v>
      </c>
      <c r="E44" s="240" t="s">
        <v>14</v>
      </c>
      <c r="F44" s="240"/>
      <c r="G44" s="240" t="s">
        <v>14</v>
      </c>
      <c r="H44" s="216"/>
    </row>
    <row r="45" spans="2:8" x14ac:dyDescent="0.3">
      <c r="B45" s="242"/>
      <c r="C45" s="234" t="s">
        <v>1327</v>
      </c>
      <c r="D45" s="249" t="s">
        <v>1278</v>
      </c>
      <c r="E45" s="235" t="s">
        <v>460</v>
      </c>
      <c r="F45" s="235"/>
      <c r="G45" s="235" t="s">
        <v>460</v>
      </c>
      <c r="H45" s="214"/>
    </row>
    <row r="46" spans="2:8" x14ac:dyDescent="0.3">
      <c r="B46" s="242"/>
      <c r="C46" s="234" t="s">
        <v>1328</v>
      </c>
      <c r="D46" s="249" t="s">
        <v>1278</v>
      </c>
      <c r="E46" s="232" t="s">
        <v>459</v>
      </c>
      <c r="F46" s="232"/>
      <c r="G46" s="232" t="s">
        <v>459</v>
      </c>
      <c r="H46" s="217">
        <f>Projektformular!D58</f>
        <v>0</v>
      </c>
    </row>
    <row r="47" spans="2:8" x14ac:dyDescent="0.3">
      <c r="B47" s="242"/>
      <c r="C47" s="234" t="s">
        <v>1327</v>
      </c>
      <c r="D47" s="249" t="s">
        <v>1278</v>
      </c>
      <c r="E47" s="234" t="s">
        <v>461</v>
      </c>
      <c r="G47" s="234" t="s">
        <v>461</v>
      </c>
    </row>
    <row r="48" spans="2:8" x14ac:dyDescent="0.3">
      <c r="B48" s="242"/>
      <c r="C48" s="234" t="s">
        <v>1327</v>
      </c>
      <c r="D48" s="249" t="s">
        <v>1278</v>
      </c>
      <c r="E48" s="234" t="s">
        <v>462</v>
      </c>
      <c r="G48" s="234" t="s">
        <v>462</v>
      </c>
    </row>
    <row r="49" spans="2:8" x14ac:dyDescent="0.3">
      <c r="B49" s="242"/>
      <c r="E49" s="241"/>
      <c r="F49" s="241"/>
      <c r="G49" s="241"/>
      <c r="H49" s="218"/>
    </row>
    <row r="50" spans="2:8" x14ac:dyDescent="0.3">
      <c r="B50" s="242"/>
      <c r="C50" s="234" t="s">
        <v>1327</v>
      </c>
      <c r="E50" s="240" t="s">
        <v>72</v>
      </c>
      <c r="F50" s="240"/>
      <c r="G50" s="240" t="s">
        <v>72</v>
      </c>
      <c r="H50" s="216"/>
    </row>
    <row r="51" spans="2:8" x14ac:dyDescent="0.3">
      <c r="B51" s="242"/>
      <c r="C51" s="234" t="s">
        <v>1328</v>
      </c>
      <c r="D51" s="249" t="s">
        <v>1277</v>
      </c>
      <c r="E51" s="235" t="s">
        <v>463</v>
      </c>
      <c r="F51" s="235"/>
      <c r="G51" s="235" t="s">
        <v>463</v>
      </c>
      <c r="H51" s="219">
        <f>Projektformular!AA9</f>
        <v>0</v>
      </c>
    </row>
    <row r="52" spans="2:8" x14ac:dyDescent="0.3">
      <c r="B52" s="242"/>
      <c r="C52" s="234" t="s">
        <v>1328</v>
      </c>
      <c r="D52" s="249" t="s">
        <v>1277</v>
      </c>
      <c r="E52" s="235" t="s">
        <v>464</v>
      </c>
      <c r="F52" s="235"/>
      <c r="G52" s="235" t="s">
        <v>464</v>
      </c>
      <c r="H52" s="219">
        <f>Projektformular!AA10</f>
        <v>0</v>
      </c>
    </row>
    <row r="53" spans="2:8" x14ac:dyDescent="0.3">
      <c r="B53" s="242" t="s">
        <v>1282</v>
      </c>
      <c r="C53" s="234" t="s">
        <v>1329</v>
      </c>
      <c r="D53" s="249" t="s">
        <v>1277</v>
      </c>
      <c r="E53" s="235"/>
      <c r="F53" s="235"/>
      <c r="G53" s="235" t="s">
        <v>5</v>
      </c>
      <c r="H53" s="305">
        <f>Projektformular!AA11</f>
        <v>0</v>
      </c>
    </row>
    <row r="54" spans="2:8" x14ac:dyDescent="0.3">
      <c r="B54" s="242" t="s">
        <v>1285</v>
      </c>
      <c r="C54" s="234" t="s">
        <v>1327</v>
      </c>
      <c r="D54" s="249" t="s">
        <v>1277</v>
      </c>
      <c r="E54" s="235" t="s">
        <v>465</v>
      </c>
      <c r="F54" s="235"/>
      <c r="G54" s="235" t="s">
        <v>40</v>
      </c>
      <c r="H54" s="305">
        <f>Projektformular!AA12</f>
        <v>0</v>
      </c>
    </row>
    <row r="55" spans="2:8" x14ac:dyDescent="0.3">
      <c r="B55" s="242" t="s">
        <v>1282</v>
      </c>
      <c r="C55" s="234" t="s">
        <v>1327</v>
      </c>
      <c r="D55" s="249" t="s">
        <v>1277</v>
      </c>
      <c r="E55" s="235"/>
      <c r="F55" s="235"/>
      <c r="G55" s="235" t="s">
        <v>78</v>
      </c>
      <c r="H55" s="305">
        <f>Projektformular!AA13</f>
        <v>0</v>
      </c>
    </row>
    <row r="56" spans="2:8" x14ac:dyDescent="0.3">
      <c r="B56" s="242"/>
      <c r="C56" s="234" t="s">
        <v>1327</v>
      </c>
      <c r="D56" s="249" t="s">
        <v>1277</v>
      </c>
      <c r="E56" s="235" t="s">
        <v>76</v>
      </c>
      <c r="F56" s="235"/>
      <c r="G56" s="235" t="s">
        <v>76</v>
      </c>
      <c r="H56" s="305">
        <f>Projektformular!AA14</f>
        <v>0</v>
      </c>
    </row>
    <row r="57" spans="2:8" x14ac:dyDescent="0.3">
      <c r="B57" s="242"/>
      <c r="C57" s="234" t="s">
        <v>1327</v>
      </c>
      <c r="D57" s="249" t="s">
        <v>1277</v>
      </c>
      <c r="E57" s="235" t="s">
        <v>466</v>
      </c>
      <c r="F57" s="235"/>
      <c r="G57" s="235" t="s">
        <v>466</v>
      </c>
      <c r="H57" s="306">
        <f>Projektformular!AA15</f>
        <v>0</v>
      </c>
    </row>
    <row r="58" spans="2:8" x14ac:dyDescent="0.3">
      <c r="B58" s="242" t="s">
        <v>1434</v>
      </c>
      <c r="C58" s="234" t="s">
        <v>1327</v>
      </c>
      <c r="D58" s="249" t="s">
        <v>1277</v>
      </c>
      <c r="E58" s="235" t="s">
        <v>77</v>
      </c>
      <c r="F58" s="235"/>
      <c r="G58" s="316" t="s">
        <v>77</v>
      </c>
      <c r="H58" s="306"/>
    </row>
    <row r="59" spans="2:8" x14ac:dyDescent="0.3">
      <c r="B59" s="242" t="s">
        <v>1285</v>
      </c>
      <c r="C59" s="234" t="s">
        <v>1329</v>
      </c>
      <c r="D59" s="249" t="s">
        <v>1277</v>
      </c>
      <c r="E59" s="239" t="s">
        <v>467</v>
      </c>
      <c r="F59" s="239"/>
      <c r="G59" s="239" t="s">
        <v>1286</v>
      </c>
      <c r="H59" s="304">
        <f>Projektformular!AA16</f>
        <v>0</v>
      </c>
    </row>
    <row r="60" spans="2:8" x14ac:dyDescent="0.3">
      <c r="B60" s="242"/>
      <c r="E60" s="235"/>
      <c r="F60" s="235"/>
      <c r="G60" s="235"/>
      <c r="H60" s="215"/>
    </row>
    <row r="61" spans="2:8" x14ac:dyDescent="0.3">
      <c r="B61" s="242"/>
    </row>
    <row r="62" spans="2:8" x14ac:dyDescent="0.3">
      <c r="B62" s="242"/>
      <c r="C62" s="234" t="s">
        <v>1327</v>
      </c>
      <c r="E62" s="240" t="s">
        <v>468</v>
      </c>
      <c r="F62" s="240"/>
      <c r="G62" s="240" t="s">
        <v>468</v>
      </c>
      <c r="H62" s="216"/>
    </row>
    <row r="63" spans="2:8" x14ac:dyDescent="0.3">
      <c r="B63" s="242"/>
      <c r="C63" s="234" t="s">
        <v>1327</v>
      </c>
      <c r="D63" s="249" t="s">
        <v>1277</v>
      </c>
      <c r="E63" s="235" t="s">
        <v>297</v>
      </c>
      <c r="F63" s="235"/>
      <c r="G63" s="235" t="s">
        <v>297</v>
      </c>
      <c r="H63" s="215">
        <f>Projektformular!AA21</f>
        <v>0</v>
      </c>
    </row>
    <row r="64" spans="2:8" x14ac:dyDescent="0.3">
      <c r="B64" s="242"/>
      <c r="C64" s="234" t="s">
        <v>1327</v>
      </c>
      <c r="D64" s="249" t="s">
        <v>1277</v>
      </c>
      <c r="E64" s="235" t="s">
        <v>82</v>
      </c>
      <c r="F64" s="235"/>
      <c r="G64" s="235" t="s">
        <v>82</v>
      </c>
      <c r="H64" s="215">
        <f>Projektformular!AA22</f>
        <v>0</v>
      </c>
    </row>
    <row r="65" spans="2:8" x14ac:dyDescent="0.3">
      <c r="B65" s="242"/>
      <c r="C65" s="234" t="s">
        <v>1327</v>
      </c>
      <c r="D65" s="249" t="s">
        <v>1277</v>
      </c>
      <c r="E65" s="235" t="s">
        <v>83</v>
      </c>
      <c r="F65" s="235"/>
      <c r="G65" s="235" t="s">
        <v>83</v>
      </c>
      <c r="H65" s="215">
        <f>Projektformular!AA23</f>
        <v>0</v>
      </c>
    </row>
    <row r="66" spans="2:8" x14ac:dyDescent="0.3">
      <c r="B66" s="242"/>
      <c r="C66" s="234" t="s">
        <v>1327</v>
      </c>
      <c r="D66" s="249" t="s">
        <v>1277</v>
      </c>
      <c r="E66" s="235" t="s">
        <v>154</v>
      </c>
      <c r="F66" s="235"/>
      <c r="G66" s="235" t="s">
        <v>154</v>
      </c>
      <c r="H66" s="215">
        <f>Projektformular!AA24</f>
        <v>0</v>
      </c>
    </row>
    <row r="67" spans="2:8" x14ac:dyDescent="0.3">
      <c r="B67" s="242"/>
      <c r="C67" s="234" t="s">
        <v>1327</v>
      </c>
      <c r="D67" s="249" t="s">
        <v>1277</v>
      </c>
      <c r="E67" s="235" t="s">
        <v>23</v>
      </c>
      <c r="F67" s="235"/>
      <c r="G67" s="235" t="s">
        <v>23</v>
      </c>
      <c r="H67" s="215">
        <f>Projektformular!AA25</f>
        <v>0</v>
      </c>
    </row>
    <row r="68" spans="2:8" x14ac:dyDescent="0.3">
      <c r="B68" s="242"/>
      <c r="C68" s="234" t="s">
        <v>1327</v>
      </c>
      <c r="D68" s="249" t="s">
        <v>1277</v>
      </c>
      <c r="E68" s="235" t="s">
        <v>84</v>
      </c>
      <c r="F68" s="235"/>
      <c r="G68" s="235" t="s">
        <v>84</v>
      </c>
      <c r="H68" s="215">
        <f>Projektformular!AA26</f>
        <v>0</v>
      </c>
    </row>
    <row r="69" spans="2:8" x14ac:dyDescent="0.3">
      <c r="B69" s="242"/>
      <c r="C69" s="234" t="s">
        <v>1327</v>
      </c>
      <c r="D69" s="249" t="s">
        <v>1277</v>
      </c>
      <c r="E69" s="235" t="s">
        <v>85</v>
      </c>
      <c r="F69" s="235"/>
      <c r="G69" s="235" t="s">
        <v>85</v>
      </c>
      <c r="H69" s="215">
        <f>Projektformular!AA27</f>
        <v>0</v>
      </c>
    </row>
    <row r="70" spans="2:8" x14ac:dyDescent="0.3">
      <c r="B70" s="242"/>
      <c r="C70" s="234" t="s">
        <v>1327</v>
      </c>
      <c r="D70" s="249" t="s">
        <v>1277</v>
      </c>
      <c r="E70" s="236" t="s">
        <v>86</v>
      </c>
      <c r="F70" s="236"/>
      <c r="G70" s="236" t="s">
        <v>86</v>
      </c>
      <c r="H70" s="220">
        <f>SUM(H63:H69)</f>
        <v>0</v>
      </c>
    </row>
    <row r="71" spans="2:8" x14ac:dyDescent="0.3">
      <c r="B71" s="242"/>
    </row>
    <row r="72" spans="2:8" x14ac:dyDescent="0.3">
      <c r="B72" s="242"/>
    </row>
    <row r="73" spans="2:8" x14ac:dyDescent="0.3">
      <c r="B73" s="242"/>
      <c r="C73" s="234" t="s">
        <v>1327</v>
      </c>
      <c r="E73" s="240" t="s">
        <v>74</v>
      </c>
      <c r="F73" s="240"/>
      <c r="G73" s="240" t="s">
        <v>74</v>
      </c>
      <c r="H73" s="216"/>
    </row>
    <row r="74" spans="2:8" x14ac:dyDescent="0.3">
      <c r="B74" s="242"/>
      <c r="C74" s="234" t="s">
        <v>1327</v>
      </c>
      <c r="D74" s="249" t="s">
        <v>1277</v>
      </c>
      <c r="E74" s="234" t="s">
        <v>23</v>
      </c>
      <c r="G74" s="234" t="s">
        <v>23</v>
      </c>
      <c r="H74" s="207" t="str">
        <f>IF(Projektformular!AC33=Dropdown!A19,Text!D2,Text!D3)</f>
        <v>Nein</v>
      </c>
    </row>
    <row r="75" spans="2:8" x14ac:dyDescent="0.3">
      <c r="B75" s="242"/>
      <c r="C75" s="234" t="s">
        <v>1327</v>
      </c>
      <c r="D75" s="249" t="s">
        <v>1277</v>
      </c>
      <c r="E75" s="234" t="s">
        <v>25</v>
      </c>
      <c r="G75" s="234" t="s">
        <v>25</v>
      </c>
      <c r="H75" s="207" t="str">
        <f>IF(Projektformular!AC34=Dropdown!A19,Text!D2,Text!D3)</f>
        <v>Nein</v>
      </c>
    </row>
    <row r="76" spans="2:8" x14ac:dyDescent="0.3">
      <c r="B76" s="242" t="s">
        <v>1434</v>
      </c>
      <c r="C76" s="234" t="s">
        <v>1327</v>
      </c>
      <c r="D76" s="249" t="s">
        <v>1434</v>
      </c>
      <c r="E76" s="234" t="s">
        <v>26</v>
      </c>
      <c r="G76" s="293" t="s">
        <v>26</v>
      </c>
      <c r="H76" s="207" t="s">
        <v>89</v>
      </c>
    </row>
    <row r="77" spans="2:8" x14ac:dyDescent="0.3">
      <c r="B77" s="242" t="s">
        <v>1282</v>
      </c>
      <c r="C77" s="234" t="s">
        <v>1327</v>
      </c>
      <c r="D77" s="249" t="s">
        <v>1277</v>
      </c>
      <c r="G77" s="234" t="s">
        <v>1223</v>
      </c>
      <c r="H77" s="207" t="str">
        <f>IF(Projektformular!AC35=Dropdown!A44,Text!D3,IF(Projektformular!AC35=Dropdown!A45,Text!D289,Text!D291))</f>
        <v>Andere:</v>
      </c>
    </row>
    <row r="78" spans="2:8" x14ac:dyDescent="0.3">
      <c r="B78" s="242" t="s">
        <v>1282</v>
      </c>
      <c r="C78" s="234" t="s">
        <v>1327</v>
      </c>
      <c r="D78" s="249" t="s">
        <v>1277</v>
      </c>
      <c r="G78" s="234" t="s">
        <v>1212</v>
      </c>
      <c r="H78" s="207">
        <f>Projektformular!AI35</f>
        <v>0</v>
      </c>
    </row>
    <row r="79" spans="2:8" x14ac:dyDescent="0.3">
      <c r="B79" s="242" t="s">
        <v>1434</v>
      </c>
      <c r="C79" s="234" t="s">
        <v>1327</v>
      </c>
      <c r="D79" s="249" t="s">
        <v>1434</v>
      </c>
      <c r="E79" s="234" t="s">
        <v>469</v>
      </c>
      <c r="G79" s="293" t="s">
        <v>469</v>
      </c>
      <c r="H79" s="207" t="s">
        <v>89</v>
      </c>
    </row>
    <row r="80" spans="2:8" x14ac:dyDescent="0.3">
      <c r="B80" s="242"/>
      <c r="C80" s="234" t="s">
        <v>1327</v>
      </c>
      <c r="D80" s="249" t="s">
        <v>1277</v>
      </c>
      <c r="E80" s="234" t="s">
        <v>87</v>
      </c>
      <c r="G80" s="234" t="s">
        <v>87</v>
      </c>
      <c r="H80" s="207" t="str">
        <f>IF(Projektformular!AC36=Dropdown!A40,Text!D132,Text!D133)</f>
        <v>Mehrkesselanlage</v>
      </c>
    </row>
    <row r="81" spans="2:8" x14ac:dyDescent="0.3">
      <c r="B81" s="242" t="s">
        <v>1282</v>
      </c>
      <c r="C81" s="234" t="s">
        <v>1327</v>
      </c>
      <c r="D81" s="249" t="s">
        <v>1277</v>
      </c>
      <c r="G81" s="234" t="s">
        <v>848</v>
      </c>
      <c r="H81" s="207" t="str">
        <f>IF(Projektformular!AC37=Dropdown!A49,Text!D135,IF(Projektformular!AC37=Dropdown!A50,Text!D136,IF(Projektformular!AC37=Dropdown!A51,Text!D137,Text!D138)))</f>
        <v>Sonstige:</v>
      </c>
    </row>
    <row r="82" spans="2:8" x14ac:dyDescent="0.3">
      <c r="B82" s="242" t="s">
        <v>1282</v>
      </c>
      <c r="C82" s="234" t="s">
        <v>1327</v>
      </c>
      <c r="D82" s="249" t="s">
        <v>1277</v>
      </c>
      <c r="G82" s="234" t="s">
        <v>48</v>
      </c>
      <c r="H82" s="207">
        <f>Projektformular!AI37</f>
        <v>0</v>
      </c>
    </row>
    <row r="83" spans="2:8" x14ac:dyDescent="0.3">
      <c r="B83" s="242"/>
      <c r="C83" s="234" t="s">
        <v>1327</v>
      </c>
      <c r="D83" s="249" t="s">
        <v>1277</v>
      </c>
      <c r="E83" s="239" t="s">
        <v>470</v>
      </c>
      <c r="F83" s="239"/>
      <c r="G83" s="239" t="s">
        <v>470</v>
      </c>
      <c r="H83" s="214" t="str">
        <f>IF(Projektformular!AC38=Dropdown!A55,Text!D142,IF(Projektformular!AC38=Dropdown!A56,Text!D143,Text!D144))</f>
        <v>Holzhackschnitzel, ganzjährig M &lt; 35%</v>
      </c>
    </row>
    <row r="84" spans="2:8" x14ac:dyDescent="0.3">
      <c r="B84" s="242" t="s">
        <v>1434</v>
      </c>
      <c r="C84" s="234" t="s">
        <v>1327</v>
      </c>
      <c r="D84" s="249" t="s">
        <v>1434</v>
      </c>
      <c r="E84" s="234" t="s">
        <v>471</v>
      </c>
      <c r="G84" s="293" t="s">
        <v>471</v>
      </c>
    </row>
    <row r="85" spans="2:8" x14ac:dyDescent="0.3">
      <c r="B85" s="242"/>
    </row>
    <row r="86" spans="2:8" x14ac:dyDescent="0.3">
      <c r="B86" s="242"/>
      <c r="C86" s="234" t="s">
        <v>1327</v>
      </c>
      <c r="E86" s="240" t="s">
        <v>129</v>
      </c>
      <c r="F86" s="240"/>
      <c r="G86" s="240" t="s">
        <v>129</v>
      </c>
      <c r="H86" s="216"/>
    </row>
    <row r="87" spans="2:8" x14ac:dyDescent="0.3">
      <c r="B87" s="242" t="s">
        <v>1285</v>
      </c>
      <c r="C87" s="234" t="s">
        <v>1327</v>
      </c>
      <c r="D87" s="249" t="s">
        <v>1277</v>
      </c>
      <c r="E87" s="234" t="s">
        <v>472</v>
      </c>
      <c r="G87" s="234" t="s">
        <v>1313</v>
      </c>
      <c r="H87" s="308">
        <f>Projektformular!AZ33</f>
        <v>0</v>
      </c>
    </row>
    <row r="88" spans="2:8" x14ac:dyDescent="0.3">
      <c r="B88" s="242" t="s">
        <v>1285</v>
      </c>
      <c r="C88" s="234" t="s">
        <v>1327</v>
      </c>
      <c r="D88" s="249" t="s">
        <v>1277</v>
      </c>
      <c r="E88" s="234" t="s">
        <v>473</v>
      </c>
      <c r="G88" s="234" t="s">
        <v>1311</v>
      </c>
      <c r="H88" s="308">
        <f>Projektformular!BB33</f>
        <v>0</v>
      </c>
    </row>
    <row r="89" spans="2:8" x14ac:dyDescent="0.3">
      <c r="B89" s="242" t="s">
        <v>1285</v>
      </c>
      <c r="C89" s="234" t="s">
        <v>1327</v>
      </c>
      <c r="D89" s="249" t="s">
        <v>1277</v>
      </c>
      <c r="E89" s="234" t="s">
        <v>474</v>
      </c>
      <c r="G89" s="234" t="s">
        <v>1312</v>
      </c>
      <c r="H89" s="308">
        <f>Projektformular!BB34</f>
        <v>0</v>
      </c>
    </row>
    <row r="90" spans="2:8" x14ac:dyDescent="0.3">
      <c r="B90" s="242" t="s">
        <v>1285</v>
      </c>
      <c r="C90" s="234" t="s">
        <v>1327</v>
      </c>
      <c r="D90" s="249" t="s">
        <v>1277</v>
      </c>
      <c r="E90" s="234" t="s">
        <v>475</v>
      </c>
      <c r="G90" s="234" t="s">
        <v>1314</v>
      </c>
      <c r="H90" s="308" t="e">
        <f>Projektformular!AZ35</f>
        <v>#DIV/0!</v>
      </c>
    </row>
    <row r="91" spans="2:8" x14ac:dyDescent="0.3">
      <c r="B91" s="242" t="s">
        <v>1285</v>
      </c>
      <c r="C91" s="234" t="s">
        <v>1327</v>
      </c>
      <c r="D91" s="249" t="s">
        <v>1277</v>
      </c>
      <c r="E91" s="234" t="s">
        <v>476</v>
      </c>
      <c r="G91" s="234" t="s">
        <v>1315</v>
      </c>
      <c r="H91" s="308" t="e">
        <f>Projektformular!BB35</f>
        <v>#DIV/0!</v>
      </c>
    </row>
    <row r="92" spans="2:8" x14ac:dyDescent="0.3">
      <c r="B92" s="242"/>
      <c r="C92" s="234" t="s">
        <v>1327</v>
      </c>
      <c r="D92" s="249" t="s">
        <v>1277</v>
      </c>
      <c r="E92" s="234" t="s">
        <v>477</v>
      </c>
      <c r="G92" s="234" t="s">
        <v>477</v>
      </c>
      <c r="H92" s="308">
        <f>Projektformular!AZ36</f>
        <v>0</v>
      </c>
    </row>
    <row r="93" spans="2:8" x14ac:dyDescent="0.3">
      <c r="B93" s="242"/>
      <c r="C93" s="234" t="s">
        <v>1327</v>
      </c>
      <c r="D93" s="249" t="s">
        <v>1277</v>
      </c>
      <c r="E93" s="234" t="s">
        <v>478</v>
      </c>
      <c r="G93" s="234" t="s">
        <v>478</v>
      </c>
      <c r="H93" s="308">
        <f>Projektformular!BB36</f>
        <v>0</v>
      </c>
    </row>
    <row r="94" spans="2:8" x14ac:dyDescent="0.3">
      <c r="B94" s="242"/>
      <c r="C94" s="234" t="s">
        <v>1327</v>
      </c>
      <c r="D94" s="249" t="s">
        <v>1277</v>
      </c>
      <c r="E94" s="232" t="s">
        <v>479</v>
      </c>
      <c r="F94" s="232"/>
      <c r="G94" s="232" t="s">
        <v>479</v>
      </c>
      <c r="H94" s="220" t="e">
        <f>SUM(H87,H90,H92)</f>
        <v>#DIV/0!</v>
      </c>
    </row>
    <row r="95" spans="2:8" x14ac:dyDescent="0.3">
      <c r="B95" s="242"/>
      <c r="C95" s="234" t="s">
        <v>1327</v>
      </c>
      <c r="D95" s="249" t="s">
        <v>1277</v>
      </c>
      <c r="E95" s="232" t="s">
        <v>480</v>
      </c>
      <c r="F95" s="232"/>
      <c r="G95" s="232" t="s">
        <v>480</v>
      </c>
      <c r="H95" s="220" t="e">
        <f>SUM(H88,H91,H93)</f>
        <v>#DIV/0!</v>
      </c>
    </row>
    <row r="96" spans="2:8" x14ac:dyDescent="0.3">
      <c r="C96" s="249"/>
    </row>
    <row r="97" spans="2:8" x14ac:dyDescent="0.3">
      <c r="C97" s="249"/>
    </row>
    <row r="98" spans="2:8" x14ac:dyDescent="0.3">
      <c r="B98" s="242" t="s">
        <v>1434</v>
      </c>
      <c r="C98" s="234" t="s">
        <v>1327</v>
      </c>
      <c r="D98" s="249" t="s">
        <v>1434</v>
      </c>
      <c r="E98" s="240" t="s">
        <v>130</v>
      </c>
      <c r="F98" s="240"/>
      <c r="G98" s="240" t="s">
        <v>130</v>
      </c>
      <c r="H98" s="216"/>
    </row>
    <row r="99" spans="2:8" x14ac:dyDescent="0.3">
      <c r="B99" s="242"/>
    </row>
    <row r="100" spans="2:8" x14ac:dyDescent="0.3">
      <c r="B100" s="242"/>
      <c r="C100" s="234" t="s">
        <v>1327</v>
      </c>
      <c r="E100" s="240" t="s">
        <v>148</v>
      </c>
      <c r="F100" s="240"/>
      <c r="G100" s="240" t="s">
        <v>148</v>
      </c>
      <c r="H100" s="216"/>
    </row>
    <row r="101" spans="2:8" x14ac:dyDescent="0.3">
      <c r="B101" s="242"/>
      <c r="C101" s="234" t="s">
        <v>1327</v>
      </c>
      <c r="D101" s="249" t="s">
        <v>1277</v>
      </c>
      <c r="E101" s="242" t="s">
        <v>481</v>
      </c>
      <c r="F101" s="242"/>
      <c r="G101" s="242" t="s">
        <v>481</v>
      </c>
      <c r="H101" s="308">
        <f>Projektformular!BH12</f>
        <v>0</v>
      </c>
    </row>
    <row r="102" spans="2:8" x14ac:dyDescent="0.3">
      <c r="B102" s="242"/>
      <c r="C102" s="234" t="s">
        <v>1327</v>
      </c>
      <c r="D102" s="249" t="s">
        <v>1277</v>
      </c>
      <c r="E102" s="234" t="s">
        <v>482</v>
      </c>
      <c r="G102" s="234" t="s">
        <v>482</v>
      </c>
      <c r="H102" s="308">
        <f>Projektformular!BI12</f>
        <v>0</v>
      </c>
    </row>
    <row r="103" spans="2:8" x14ac:dyDescent="0.3">
      <c r="B103" s="242"/>
      <c r="C103" s="234" t="s">
        <v>1327</v>
      </c>
      <c r="D103" s="249" t="s">
        <v>1277</v>
      </c>
      <c r="E103" s="232" t="s">
        <v>24</v>
      </c>
      <c r="F103" s="232"/>
      <c r="G103" s="232" t="s">
        <v>24</v>
      </c>
      <c r="H103" s="309" t="e">
        <f>Projektformular!BJ12</f>
        <v>#DIV/0!</v>
      </c>
    </row>
    <row r="104" spans="2:8" x14ac:dyDescent="0.3">
      <c r="B104" s="242"/>
      <c r="C104" s="234" t="s">
        <v>1327</v>
      </c>
      <c r="D104" s="249" t="s">
        <v>1277</v>
      </c>
      <c r="E104" s="234" t="s">
        <v>483</v>
      </c>
      <c r="G104" s="234" t="s">
        <v>483</v>
      </c>
      <c r="H104" s="309" t="e">
        <f>Projektformular!BL12</f>
        <v>#DIV/0!</v>
      </c>
    </row>
    <row r="105" spans="2:8" x14ac:dyDescent="0.3">
      <c r="B105" s="242"/>
      <c r="C105" s="234" t="s">
        <v>1327</v>
      </c>
      <c r="D105" s="249" t="s">
        <v>1277</v>
      </c>
      <c r="E105" s="234" t="s">
        <v>483</v>
      </c>
      <c r="G105" s="234" t="s">
        <v>483</v>
      </c>
      <c r="H105" s="309" t="e">
        <f>Projektformular!BN12</f>
        <v>#DIV/0!</v>
      </c>
    </row>
    <row r="106" spans="2:8" x14ac:dyDescent="0.3">
      <c r="B106" s="242"/>
      <c r="C106" s="234" t="s">
        <v>1327</v>
      </c>
      <c r="D106" s="249" t="s">
        <v>1277</v>
      </c>
      <c r="E106" s="234" t="s">
        <v>483</v>
      </c>
      <c r="G106" s="234" t="s">
        <v>483</v>
      </c>
      <c r="H106" s="309" t="e">
        <f>Projektformular!BO12</f>
        <v>#DIV/0!</v>
      </c>
    </row>
    <row r="107" spans="2:8" x14ac:dyDescent="0.3">
      <c r="B107" s="242"/>
      <c r="C107" s="234" t="s">
        <v>1327</v>
      </c>
      <c r="D107" s="249" t="s">
        <v>1277</v>
      </c>
      <c r="E107" s="242" t="s">
        <v>484</v>
      </c>
      <c r="F107" s="242"/>
      <c r="G107" s="242" t="s">
        <v>484</v>
      </c>
      <c r="H107" s="308">
        <f>Projektformular!BP12</f>
        <v>0</v>
      </c>
    </row>
    <row r="108" spans="2:8" x14ac:dyDescent="0.3">
      <c r="B108" s="242"/>
      <c r="C108" s="234" t="s">
        <v>1327</v>
      </c>
      <c r="D108" s="249" t="s">
        <v>1277</v>
      </c>
      <c r="E108" s="242" t="s">
        <v>485</v>
      </c>
      <c r="F108" s="242"/>
      <c r="G108" s="242" t="s">
        <v>485</v>
      </c>
      <c r="H108" s="308">
        <f>Projektformular!BQ12</f>
        <v>0</v>
      </c>
    </row>
    <row r="109" spans="2:8" x14ac:dyDescent="0.3">
      <c r="B109" s="242"/>
      <c r="C109" s="234" t="s">
        <v>1327</v>
      </c>
      <c r="D109" s="249" t="s">
        <v>1277</v>
      </c>
      <c r="E109" s="232" t="s">
        <v>486</v>
      </c>
      <c r="F109" s="232"/>
      <c r="G109" s="232" t="s">
        <v>486</v>
      </c>
      <c r="H109" s="308">
        <f>Projektformular!BT12</f>
        <v>0</v>
      </c>
    </row>
    <row r="110" spans="2:8" x14ac:dyDescent="0.3">
      <c r="B110" s="242"/>
      <c r="C110" s="234" t="s">
        <v>1327</v>
      </c>
      <c r="D110" s="249" t="s">
        <v>1277</v>
      </c>
      <c r="E110" s="223" t="s">
        <v>487</v>
      </c>
      <c r="F110" s="223"/>
      <c r="G110" s="223" t="s">
        <v>487</v>
      </c>
      <c r="H110" s="214" t="e">
        <f>IF(Projektformular!AC33=Dropdown!A20,"",IF(AND(Projektformular!AC33=Dropdown!A19,OR(ISBLANK(Projektformular!BH12)=TRUE,ISBLANK(Projektformular!BP12)=TRUE,ISBLANK(Projektformular!BQ12)=TRUE)),Text!D280,IF(Berechnungen!D95=1,Text!D202,IF(Berechnungen!D92=Dropdown!A20,Text!D200,IF(Berechnungen!D94=Dropdown!A20,Text!D201,Text!D279)))))</f>
        <v>#DIV/0!</v>
      </c>
    </row>
    <row r="111" spans="2:8" x14ac:dyDescent="0.3">
      <c r="B111" s="242"/>
      <c r="C111" s="234" t="s">
        <v>1327</v>
      </c>
      <c r="D111" s="249" t="s">
        <v>1277</v>
      </c>
      <c r="E111" s="239" t="s">
        <v>488</v>
      </c>
      <c r="F111" s="239"/>
      <c r="G111" s="239" t="s">
        <v>488</v>
      </c>
      <c r="H111" s="214">
        <f>Projektformular!BJ14</f>
        <v>0</v>
      </c>
    </row>
    <row r="112" spans="2:8" x14ac:dyDescent="0.3">
      <c r="B112" s="242"/>
    </row>
    <row r="113" spans="2:8" x14ac:dyDescent="0.3">
      <c r="B113" s="242"/>
      <c r="C113" s="234" t="s">
        <v>1327</v>
      </c>
      <c r="E113" s="240" t="s">
        <v>152</v>
      </c>
      <c r="F113" s="240"/>
      <c r="G113" s="240" t="s">
        <v>152</v>
      </c>
    </row>
    <row r="114" spans="2:8" x14ac:dyDescent="0.3">
      <c r="B114" s="242"/>
      <c r="C114" s="234" t="s">
        <v>1327</v>
      </c>
      <c r="D114" s="249" t="s">
        <v>1277</v>
      </c>
      <c r="E114" s="234" t="s">
        <v>489</v>
      </c>
      <c r="G114" s="234" t="s">
        <v>489</v>
      </c>
      <c r="H114" s="308" t="e">
        <f>Projektformular!BL18</f>
        <v>#DIV/0!</v>
      </c>
    </row>
    <row r="115" spans="2:8" x14ac:dyDescent="0.3">
      <c r="B115" s="242"/>
      <c r="C115" s="234" t="s">
        <v>1327</v>
      </c>
      <c r="D115" s="249" t="s">
        <v>1277</v>
      </c>
      <c r="E115" s="234" t="s">
        <v>201</v>
      </c>
      <c r="G115" s="234" t="s">
        <v>201</v>
      </c>
      <c r="H115" s="207" t="str">
        <f>IF(Projektformular!BL19=Dropdown!A19,Text!D2,Text!D3)</f>
        <v>Ja</v>
      </c>
    </row>
    <row r="116" spans="2:8" x14ac:dyDescent="0.3">
      <c r="B116" s="242"/>
      <c r="C116" s="234" t="s">
        <v>1327</v>
      </c>
      <c r="D116" s="249" t="s">
        <v>1277</v>
      </c>
      <c r="E116" s="242" t="s">
        <v>490</v>
      </c>
      <c r="F116" s="242"/>
      <c r="G116" s="242" t="s">
        <v>490</v>
      </c>
      <c r="H116" s="308">
        <f>Projektformular!BL21</f>
        <v>0</v>
      </c>
    </row>
    <row r="117" spans="2:8" x14ac:dyDescent="0.3">
      <c r="B117" s="242"/>
      <c r="C117" s="234" t="s">
        <v>1327</v>
      </c>
      <c r="D117" s="249" t="s">
        <v>1277</v>
      </c>
      <c r="E117" s="242" t="s">
        <v>491</v>
      </c>
      <c r="F117" s="242"/>
      <c r="G117" s="242" t="s">
        <v>491</v>
      </c>
      <c r="H117" s="308">
        <f>Projektformular!BV21</f>
        <v>0</v>
      </c>
    </row>
    <row r="118" spans="2:8" x14ac:dyDescent="0.3">
      <c r="B118" s="242"/>
      <c r="C118" s="234" t="s">
        <v>1327</v>
      </c>
      <c r="D118" s="249" t="s">
        <v>1277</v>
      </c>
      <c r="E118" s="242" t="s">
        <v>492</v>
      </c>
      <c r="F118" s="242"/>
      <c r="G118" s="242" t="s">
        <v>492</v>
      </c>
      <c r="H118" s="308">
        <f>Projektformular!BL22</f>
        <v>0</v>
      </c>
    </row>
    <row r="119" spans="2:8" x14ac:dyDescent="0.3">
      <c r="B119" s="242"/>
      <c r="C119" s="234" t="s">
        <v>1327</v>
      </c>
      <c r="D119" s="249" t="s">
        <v>1277</v>
      </c>
      <c r="E119" s="232" t="s">
        <v>493</v>
      </c>
      <c r="F119" s="232"/>
      <c r="G119" s="232" t="s">
        <v>493</v>
      </c>
      <c r="H119" s="308">
        <f>Projektformular!BL23</f>
        <v>0</v>
      </c>
    </row>
    <row r="120" spans="2:8" x14ac:dyDescent="0.3">
      <c r="B120" s="242"/>
      <c r="C120" s="234" t="s">
        <v>1327</v>
      </c>
      <c r="D120" s="249" t="s">
        <v>1277</v>
      </c>
      <c r="E120" s="232" t="s">
        <v>162</v>
      </c>
      <c r="F120" s="232"/>
      <c r="G120" s="232" t="s">
        <v>162</v>
      </c>
      <c r="H120" s="308">
        <f>Projektformular!BV23</f>
        <v>0</v>
      </c>
    </row>
    <row r="121" spans="2:8" x14ac:dyDescent="0.3">
      <c r="B121" s="242"/>
      <c r="C121" s="234" t="s">
        <v>1327</v>
      </c>
      <c r="D121" s="249" t="s">
        <v>1277</v>
      </c>
      <c r="E121" s="223" t="s">
        <v>159</v>
      </c>
      <c r="F121" s="223"/>
      <c r="G121" s="223" t="s">
        <v>159</v>
      </c>
      <c r="H121" s="229">
        <f>Projektformular!BL25</f>
        <v>0</v>
      </c>
    </row>
    <row r="122" spans="2:8" x14ac:dyDescent="0.3">
      <c r="B122" s="242"/>
      <c r="C122" s="234" t="s">
        <v>1327</v>
      </c>
      <c r="D122" s="249" t="s">
        <v>1277</v>
      </c>
      <c r="E122" s="239" t="s">
        <v>494</v>
      </c>
      <c r="F122" s="239"/>
      <c r="G122" s="239" t="s">
        <v>494</v>
      </c>
      <c r="H122" s="229">
        <f>Projektformular!BL26</f>
        <v>0</v>
      </c>
    </row>
    <row r="123" spans="2:8" x14ac:dyDescent="0.3">
      <c r="B123" s="242"/>
      <c r="C123" s="234" t="s">
        <v>1327</v>
      </c>
      <c r="D123" s="249" t="s">
        <v>1277</v>
      </c>
      <c r="E123" s="242" t="s">
        <v>161</v>
      </c>
      <c r="F123" s="242"/>
      <c r="G123" s="242" t="s">
        <v>161</v>
      </c>
      <c r="H123" s="310" t="e">
        <f>Projektformular!BL27</f>
        <v>#DIV/0!</v>
      </c>
    </row>
    <row r="124" spans="2:8" x14ac:dyDescent="0.3">
      <c r="B124" s="242"/>
      <c r="C124" s="234" t="s">
        <v>1327</v>
      </c>
      <c r="D124" s="249" t="s">
        <v>1277</v>
      </c>
      <c r="E124" s="242" t="s">
        <v>161</v>
      </c>
      <c r="F124" s="242"/>
      <c r="G124" s="242" t="s">
        <v>161</v>
      </c>
      <c r="H124" s="207" t="str">
        <f>Projektformular!BN27</f>
        <v>Srm/a</v>
      </c>
    </row>
    <row r="125" spans="2:8" x14ac:dyDescent="0.3">
      <c r="B125" s="242"/>
      <c r="C125" s="234" t="s">
        <v>1327</v>
      </c>
      <c r="D125" s="249" t="s">
        <v>1279</v>
      </c>
      <c r="E125" s="232" t="s">
        <v>495</v>
      </c>
      <c r="F125" s="232"/>
      <c r="G125" s="232" t="s">
        <v>495</v>
      </c>
      <c r="H125" s="309" t="e">
        <f>IFERROR(H119-H94,NA())</f>
        <v>#N/A</v>
      </c>
    </row>
    <row r="126" spans="2:8" x14ac:dyDescent="0.3">
      <c r="B126" s="242"/>
      <c r="C126" s="234" t="s">
        <v>1327</v>
      </c>
      <c r="D126" s="249" t="s">
        <v>1277</v>
      </c>
      <c r="E126" s="232" t="s">
        <v>495</v>
      </c>
      <c r="F126" s="232"/>
      <c r="G126" s="232" t="s">
        <v>495</v>
      </c>
      <c r="H126" s="311" t="e">
        <f>Projektformular!BL29*100</f>
        <v>#DIV/0!</v>
      </c>
    </row>
    <row r="127" spans="2:8" x14ac:dyDescent="0.3">
      <c r="B127" s="242"/>
      <c r="C127" s="234" t="s">
        <v>1327</v>
      </c>
      <c r="D127" s="249" t="s">
        <v>1277</v>
      </c>
      <c r="E127" s="234" t="s">
        <v>496</v>
      </c>
      <c r="G127" s="234" t="s">
        <v>496</v>
      </c>
      <c r="H127" s="308" t="e">
        <f>IF(Projektformular!BL28=Dropdown!A76,"Ja","Nein")</f>
        <v>#DIV/0!</v>
      </c>
    </row>
    <row r="128" spans="2:8" x14ac:dyDescent="0.3">
      <c r="B128" s="242"/>
      <c r="C128" s="234" t="s">
        <v>1327</v>
      </c>
      <c r="D128" s="249" t="s">
        <v>1277</v>
      </c>
      <c r="E128" s="239" t="s">
        <v>488</v>
      </c>
      <c r="F128" s="239"/>
      <c r="G128" s="239" t="s">
        <v>488</v>
      </c>
      <c r="H128" s="214">
        <f>Projektformular!BQ28</f>
        <v>0</v>
      </c>
    </row>
    <row r="129" spans="2:8" x14ac:dyDescent="0.3">
      <c r="B129" s="242"/>
    </row>
    <row r="130" spans="2:8" x14ac:dyDescent="0.3">
      <c r="B130" s="242"/>
      <c r="C130" s="234" t="s">
        <v>1327</v>
      </c>
      <c r="E130" s="240" t="s">
        <v>153</v>
      </c>
      <c r="F130" s="240"/>
      <c r="G130" s="240" t="s">
        <v>153</v>
      </c>
    </row>
    <row r="131" spans="2:8" x14ac:dyDescent="0.3">
      <c r="B131" s="242" t="s">
        <v>1285</v>
      </c>
      <c r="C131" s="234" t="s">
        <v>1327</v>
      </c>
      <c r="E131" s="243" t="s">
        <v>497</v>
      </c>
      <c r="F131" s="243"/>
      <c r="G131" s="243" t="s">
        <v>231</v>
      </c>
    </row>
    <row r="132" spans="2:8" x14ac:dyDescent="0.3">
      <c r="B132" s="242"/>
      <c r="C132" s="234" t="s">
        <v>1327</v>
      </c>
      <c r="D132" s="249" t="s">
        <v>1277</v>
      </c>
      <c r="E132" s="242" t="s">
        <v>166</v>
      </c>
      <c r="F132" s="242"/>
      <c r="G132" s="242" t="s">
        <v>166</v>
      </c>
      <c r="H132" s="309" t="e">
        <f>Projektformular!BL39</f>
        <v>#DIV/0!</v>
      </c>
    </row>
    <row r="133" spans="2:8" x14ac:dyDescent="0.3">
      <c r="B133" s="242"/>
      <c r="C133" s="234" t="s">
        <v>1327</v>
      </c>
      <c r="D133" s="249" t="s">
        <v>1277</v>
      </c>
      <c r="E133" s="232" t="s">
        <v>167</v>
      </c>
      <c r="F133" s="232"/>
      <c r="G133" s="232" t="s">
        <v>167</v>
      </c>
      <c r="H133" s="309" t="e">
        <f>Projektformular!BL40*100</f>
        <v>#VALUE!</v>
      </c>
    </row>
    <row r="134" spans="2:8" x14ac:dyDescent="0.3">
      <c r="B134" s="242"/>
      <c r="C134" s="234" t="s">
        <v>1327</v>
      </c>
      <c r="D134" s="249" t="s">
        <v>1277</v>
      </c>
      <c r="E134" s="234" t="s">
        <v>168</v>
      </c>
      <c r="G134" s="234" t="s">
        <v>168</v>
      </c>
      <c r="H134" s="207" t="str">
        <f>Projektformular!BL41</f>
        <v>10%</v>
      </c>
    </row>
    <row r="135" spans="2:8" x14ac:dyDescent="0.3">
      <c r="B135" s="242" t="s">
        <v>1285</v>
      </c>
      <c r="C135" s="234" t="s">
        <v>1327</v>
      </c>
      <c r="D135" s="249" t="s">
        <v>1277</v>
      </c>
      <c r="E135" s="236" t="s">
        <v>498</v>
      </c>
      <c r="F135" s="236"/>
      <c r="G135" s="236" t="s">
        <v>1181</v>
      </c>
      <c r="H135" s="222" t="e">
        <f>IF(Projektformular!BL42="","kein Sommerbetrieb",IF(Projektformular!BL42=Dropdown!A19,Text!D2,Text!D3))</f>
        <v>#VALUE!</v>
      </c>
    </row>
    <row r="136" spans="2:8" x14ac:dyDescent="0.3">
      <c r="B136" s="242"/>
      <c r="C136" s="234" t="s">
        <v>1327</v>
      </c>
      <c r="D136" s="249" t="s">
        <v>1277</v>
      </c>
      <c r="E136" s="239" t="s">
        <v>488</v>
      </c>
      <c r="F136" s="239"/>
      <c r="G136" s="239" t="s">
        <v>488</v>
      </c>
      <c r="H136" s="214">
        <f>Projektformular!BP42</f>
        <v>0</v>
      </c>
    </row>
    <row r="137" spans="2:8" x14ac:dyDescent="0.3">
      <c r="B137" s="242"/>
    </row>
    <row r="138" spans="2:8" x14ac:dyDescent="0.3">
      <c r="B138" s="242"/>
      <c r="C138" s="234" t="s">
        <v>1327</v>
      </c>
      <c r="E138" s="243" t="s">
        <v>169</v>
      </c>
      <c r="F138" s="243"/>
      <c r="G138" s="243" t="s">
        <v>169</v>
      </c>
    </row>
    <row r="139" spans="2:8" x14ac:dyDescent="0.3">
      <c r="B139" s="242"/>
      <c r="C139" s="234" t="s">
        <v>1327</v>
      </c>
      <c r="D139" s="249" t="s">
        <v>1277</v>
      </c>
      <c r="E139" s="242" t="s">
        <v>499</v>
      </c>
      <c r="F139" s="242"/>
      <c r="G139" s="242" t="s">
        <v>499</v>
      </c>
      <c r="H139" s="207">
        <f>Projektformular!BL45</f>
        <v>0</v>
      </c>
    </row>
    <row r="140" spans="2:8" x14ac:dyDescent="0.3">
      <c r="B140" s="242"/>
      <c r="C140" s="234" t="s">
        <v>1327</v>
      </c>
      <c r="D140" s="249" t="s">
        <v>1277</v>
      </c>
      <c r="E140" s="242" t="s">
        <v>500</v>
      </c>
      <c r="F140" s="242"/>
      <c r="G140" s="242" t="s">
        <v>500</v>
      </c>
      <c r="H140" s="207">
        <f>Projektformular!BT45</f>
        <v>0</v>
      </c>
    </row>
    <row r="141" spans="2:8" x14ac:dyDescent="0.3">
      <c r="B141" s="242" t="s">
        <v>1285</v>
      </c>
      <c r="C141" s="234" t="s">
        <v>1327</v>
      </c>
      <c r="D141" s="249" t="s">
        <v>1277</v>
      </c>
      <c r="E141" s="232" t="s">
        <v>501</v>
      </c>
      <c r="F141" s="232"/>
      <c r="G141" s="232" t="s">
        <v>180</v>
      </c>
      <c r="H141" s="309" t="e">
        <f>Projektformular!BL46</f>
        <v>#VALUE!</v>
      </c>
    </row>
    <row r="142" spans="2:8" x14ac:dyDescent="0.3">
      <c r="B142" s="242" t="s">
        <v>1282</v>
      </c>
      <c r="C142" s="234" t="s">
        <v>1327</v>
      </c>
      <c r="D142" s="249" t="s">
        <v>1277</v>
      </c>
      <c r="E142" s="232"/>
      <c r="F142" s="232"/>
      <c r="G142" s="232" t="s">
        <v>181</v>
      </c>
      <c r="H142" s="309" t="e">
        <f>Projektformular!BL47</f>
        <v>#VALUE!</v>
      </c>
    </row>
    <row r="143" spans="2:8" x14ac:dyDescent="0.3">
      <c r="B143" s="242" t="s">
        <v>1285</v>
      </c>
      <c r="C143" s="234" t="s">
        <v>1327</v>
      </c>
      <c r="D143" s="249" t="s">
        <v>1277</v>
      </c>
      <c r="E143" s="242" t="s">
        <v>502</v>
      </c>
      <c r="F143" s="242"/>
      <c r="G143" s="242" t="s">
        <v>178</v>
      </c>
      <c r="H143" s="207">
        <f>Projektformular!BL48</f>
        <v>0</v>
      </c>
    </row>
    <row r="144" spans="2:8" x14ac:dyDescent="0.3">
      <c r="B144" s="242" t="s">
        <v>1285</v>
      </c>
      <c r="C144" s="234" t="s">
        <v>1327</v>
      </c>
      <c r="D144" s="249" t="s">
        <v>1277</v>
      </c>
      <c r="E144" s="232" t="s">
        <v>503</v>
      </c>
      <c r="F144" s="232"/>
      <c r="G144" s="232" t="s">
        <v>1228</v>
      </c>
      <c r="H144" s="209" t="str">
        <f>IF(Projektformular!BL49=Dropdown!A19,Text!D2,Text!D3)</f>
        <v>Nein</v>
      </c>
    </row>
    <row r="145" spans="2:8" x14ac:dyDescent="0.3">
      <c r="B145" s="242"/>
      <c r="C145" s="234" t="s">
        <v>1327</v>
      </c>
      <c r="D145" s="249" t="s">
        <v>1277</v>
      </c>
      <c r="E145" s="239" t="s">
        <v>488</v>
      </c>
      <c r="F145" s="239"/>
      <c r="G145" s="239" t="s">
        <v>488</v>
      </c>
      <c r="H145" s="214">
        <f>Projektformular!BP49</f>
        <v>0</v>
      </c>
    </row>
    <row r="146" spans="2:8" x14ac:dyDescent="0.3">
      <c r="B146" s="242"/>
    </row>
    <row r="147" spans="2:8" x14ac:dyDescent="0.3">
      <c r="B147" s="242"/>
      <c r="C147" s="234" t="s">
        <v>1327</v>
      </c>
      <c r="E147" s="243" t="s">
        <v>170</v>
      </c>
      <c r="F147" s="243"/>
      <c r="G147" s="243" t="s">
        <v>170</v>
      </c>
    </row>
    <row r="148" spans="2:8" x14ac:dyDescent="0.3">
      <c r="B148" s="242"/>
      <c r="C148" s="234" t="s">
        <v>1327</v>
      </c>
      <c r="D148" s="249" t="s">
        <v>1277</v>
      </c>
      <c r="E148" s="242" t="s">
        <v>171</v>
      </c>
      <c r="F148" s="242"/>
      <c r="G148" s="242" t="s">
        <v>171</v>
      </c>
      <c r="H148" s="211">
        <f>Projektformular!BL53</f>
        <v>0</v>
      </c>
    </row>
    <row r="149" spans="2:8" x14ac:dyDescent="0.3">
      <c r="B149" s="242"/>
      <c r="C149" s="234" t="s">
        <v>1327</v>
      </c>
      <c r="D149" s="249" t="s">
        <v>1277</v>
      </c>
      <c r="E149" s="232" t="s">
        <v>504</v>
      </c>
      <c r="F149" s="232"/>
      <c r="G149" s="232" t="s">
        <v>504</v>
      </c>
      <c r="H149" s="209">
        <f>Projektformular!BL54</f>
        <v>850</v>
      </c>
    </row>
    <row r="150" spans="2:8" x14ac:dyDescent="0.3">
      <c r="B150" s="242"/>
      <c r="C150" s="234" t="s">
        <v>1327</v>
      </c>
      <c r="D150" s="249" t="s">
        <v>1277</v>
      </c>
      <c r="E150" s="242" t="s">
        <v>505</v>
      </c>
      <c r="F150" s="242"/>
      <c r="G150" s="242" t="s">
        <v>505</v>
      </c>
      <c r="H150" s="211" t="e">
        <f>Projektformular!BL55</f>
        <v>#DIV/0!</v>
      </c>
    </row>
    <row r="151" spans="2:8" x14ac:dyDescent="0.3">
      <c r="B151" s="242"/>
      <c r="C151" s="234" t="s">
        <v>1327</v>
      </c>
      <c r="D151" s="249" t="s">
        <v>1277</v>
      </c>
      <c r="E151" s="232" t="s">
        <v>506</v>
      </c>
      <c r="F151" s="232"/>
      <c r="G151" s="232" t="s">
        <v>506</v>
      </c>
      <c r="H151" s="551" t="str">
        <f>Projektformular!BL56</f>
        <v>6 - 8</v>
      </c>
    </row>
    <row r="152" spans="2:8" ht="24.9" x14ac:dyDescent="0.3">
      <c r="B152" s="242"/>
      <c r="C152" s="234" t="s">
        <v>1327</v>
      </c>
      <c r="D152" s="249" t="s">
        <v>1277</v>
      </c>
      <c r="E152" s="244" t="s">
        <v>27</v>
      </c>
      <c r="F152" s="244"/>
      <c r="G152" s="244" t="s">
        <v>27</v>
      </c>
      <c r="H152" s="214" t="e">
        <f>IF(Projektformular!BL55&lt;6,Text!D252,IF(AND(Projektformular!BL55&gt;=6,Projektformular!BL55&lt;8,OR(Projektformular!AC38=Dropdown!A56,Projektformular!AC38=Dropdown!A57)),Text!D255,IF(AND(Projektformular!BL55&gt;=8,Projektformular!BL53*Projektformular!BL54*0.85&lt;Projektformular!BB37,OR(Projektformular!AC38=Dropdown!A56,Projektformular!AC38=Dropdown!A57)),Text!D254,IF(AND(Projektformular!BL55&gt;=6,Projektformular!BL53*Projektformular!BL54*0.85&lt;Projektformular!BB37,Projektformular!AC38=Dropdown!A55),Text!D256,Text!D253))))</f>
        <v>#DIV/0!</v>
      </c>
    </row>
    <row r="153" spans="2:8" x14ac:dyDescent="0.3">
      <c r="B153" s="242" t="s">
        <v>1434</v>
      </c>
      <c r="C153" s="234" t="s">
        <v>1327</v>
      </c>
      <c r="D153" s="249" t="s">
        <v>1277</v>
      </c>
      <c r="E153" s="223" t="s">
        <v>488</v>
      </c>
      <c r="F153" s="223"/>
      <c r="G153" s="322" t="s">
        <v>488</v>
      </c>
      <c r="H153" s="214"/>
    </row>
    <row r="154" spans="2:8" x14ac:dyDescent="0.3">
      <c r="C154" s="249"/>
    </row>
    <row r="155" spans="2:8" x14ac:dyDescent="0.3">
      <c r="B155" s="242"/>
    </row>
    <row r="156" spans="2:8" x14ac:dyDescent="0.3">
      <c r="B156" s="242"/>
      <c r="C156" s="234" t="s">
        <v>1327</v>
      </c>
      <c r="E156" s="240" t="s">
        <v>284</v>
      </c>
      <c r="F156" s="240"/>
      <c r="G156" s="240" t="s">
        <v>284</v>
      </c>
    </row>
    <row r="157" spans="2:8" x14ac:dyDescent="0.3">
      <c r="B157" s="242" t="s">
        <v>1434</v>
      </c>
      <c r="C157" s="234" t="s">
        <v>1327</v>
      </c>
      <c r="D157" s="249" t="s">
        <v>1279</v>
      </c>
      <c r="E157" s="232" t="s">
        <v>507</v>
      </c>
      <c r="F157" s="232"/>
      <c r="G157" s="232" t="s">
        <v>507</v>
      </c>
      <c r="H157" s="209">
        <f>H139</f>
        <v>0</v>
      </c>
    </row>
    <row r="158" spans="2:8" x14ac:dyDescent="0.3">
      <c r="B158" s="242" t="s">
        <v>1434</v>
      </c>
      <c r="C158" s="234" t="s">
        <v>1327</v>
      </c>
      <c r="D158" s="249" t="s">
        <v>1279</v>
      </c>
      <c r="E158" s="232" t="s">
        <v>508</v>
      </c>
      <c r="F158" s="232"/>
      <c r="G158" s="232" t="s">
        <v>508</v>
      </c>
      <c r="H158" s="209">
        <f>H140</f>
        <v>0</v>
      </c>
    </row>
    <row r="159" spans="2:8" x14ac:dyDescent="0.3">
      <c r="B159" s="242" t="s">
        <v>1434</v>
      </c>
      <c r="C159" s="234" t="s">
        <v>1327</v>
      </c>
      <c r="D159" s="249" t="s">
        <v>1279</v>
      </c>
      <c r="E159" s="232" t="s">
        <v>509</v>
      </c>
      <c r="F159" s="232"/>
      <c r="G159" s="232" t="s">
        <v>509</v>
      </c>
      <c r="H159" s="209" t="e">
        <f>H141</f>
        <v>#VALUE!</v>
      </c>
    </row>
    <row r="160" spans="2:8" x14ac:dyDescent="0.3">
      <c r="B160" s="242" t="s">
        <v>1434</v>
      </c>
      <c r="C160" s="234" t="s">
        <v>1327</v>
      </c>
      <c r="D160" s="249" t="s">
        <v>1279</v>
      </c>
      <c r="E160" s="232" t="s">
        <v>510</v>
      </c>
      <c r="F160" s="232"/>
      <c r="G160" s="232" t="s">
        <v>510</v>
      </c>
      <c r="H160" s="209">
        <f>H157</f>
        <v>0</v>
      </c>
    </row>
    <row r="161" spans="2:8" x14ac:dyDescent="0.3">
      <c r="B161" s="242" t="s">
        <v>1434</v>
      </c>
      <c r="C161" s="234" t="s">
        <v>1327</v>
      </c>
      <c r="D161" s="249" t="s">
        <v>1277</v>
      </c>
      <c r="E161" s="242" t="s">
        <v>511</v>
      </c>
      <c r="F161" s="242"/>
      <c r="G161" s="242" t="s">
        <v>511</v>
      </c>
      <c r="H161" s="211">
        <f>Projektformular!CH49</f>
        <v>-15</v>
      </c>
    </row>
    <row r="162" spans="2:8" x14ac:dyDescent="0.3">
      <c r="B162" s="242" t="s">
        <v>1434</v>
      </c>
      <c r="C162" s="234" t="s">
        <v>1327</v>
      </c>
      <c r="D162" s="249" t="s">
        <v>1277</v>
      </c>
      <c r="E162" s="242" t="s">
        <v>512</v>
      </c>
      <c r="F162" s="242"/>
      <c r="G162" s="242" t="s">
        <v>512</v>
      </c>
      <c r="H162" s="211">
        <f>Projektformular!CH49-5</f>
        <v>-20</v>
      </c>
    </row>
    <row r="163" spans="2:8" x14ac:dyDescent="0.3">
      <c r="B163" s="242" t="s">
        <v>1434</v>
      </c>
      <c r="C163" s="234" t="s">
        <v>1327</v>
      </c>
      <c r="D163" s="249" t="s">
        <v>1279</v>
      </c>
      <c r="E163" s="232" t="s">
        <v>513</v>
      </c>
      <c r="F163" s="232"/>
      <c r="G163" s="232" t="s">
        <v>513</v>
      </c>
      <c r="H163" s="209">
        <f>H158</f>
        <v>0</v>
      </c>
    </row>
    <row r="164" spans="2:8" x14ac:dyDescent="0.3">
      <c r="B164" s="242" t="s">
        <v>1434</v>
      </c>
      <c r="C164" s="234" t="s">
        <v>1327</v>
      </c>
      <c r="D164" s="249" t="s">
        <v>1279</v>
      </c>
      <c r="E164" s="232" t="s">
        <v>514</v>
      </c>
      <c r="F164" s="232"/>
      <c r="G164" s="232" t="s">
        <v>514</v>
      </c>
      <c r="H164" s="209">
        <f>H119</f>
        <v>0</v>
      </c>
    </row>
    <row r="165" spans="2:8" x14ac:dyDescent="0.3">
      <c r="B165" s="242" t="s">
        <v>1434</v>
      </c>
      <c r="C165" s="234" t="s">
        <v>1327</v>
      </c>
      <c r="D165" s="249" t="s">
        <v>1279</v>
      </c>
      <c r="E165" s="232" t="s">
        <v>515</v>
      </c>
      <c r="F165" s="232"/>
      <c r="G165" s="232" t="s">
        <v>515</v>
      </c>
      <c r="H165" s="209">
        <f>H120</f>
        <v>0</v>
      </c>
    </row>
    <row r="166" spans="2:8" x14ac:dyDescent="0.3">
      <c r="B166" s="242" t="s">
        <v>1434</v>
      </c>
      <c r="C166" s="234" t="s">
        <v>1327</v>
      </c>
      <c r="D166" s="249" t="s">
        <v>1279</v>
      </c>
      <c r="E166" s="232" t="s">
        <v>516</v>
      </c>
      <c r="F166" s="232"/>
      <c r="G166" s="232" t="s">
        <v>516</v>
      </c>
      <c r="H166" s="221">
        <f>IFERROR(ROUND(H164/(H160-H161)/4.19*3.6,1),NA())</f>
        <v>0</v>
      </c>
    </row>
    <row r="167" spans="2:8" x14ac:dyDescent="0.3">
      <c r="B167" s="242" t="s">
        <v>1434</v>
      </c>
      <c r="C167" s="234" t="s">
        <v>1327</v>
      </c>
      <c r="D167" s="249" t="s">
        <v>1434</v>
      </c>
      <c r="E167" s="234" t="s">
        <v>517</v>
      </c>
      <c r="G167" s="293" t="s">
        <v>517</v>
      </c>
    </row>
    <row r="168" spans="2:8" x14ac:dyDescent="0.3">
      <c r="B168" s="242" t="s">
        <v>1434</v>
      </c>
      <c r="C168" s="234" t="s">
        <v>1327</v>
      </c>
      <c r="D168" s="249" t="s">
        <v>1434</v>
      </c>
      <c r="E168" s="223" t="s">
        <v>518</v>
      </c>
      <c r="F168" s="223"/>
      <c r="G168" s="294" t="s">
        <v>518</v>
      </c>
      <c r="H168" s="223"/>
    </row>
    <row r="169" spans="2:8" x14ac:dyDescent="0.3">
      <c r="B169" s="242" t="s">
        <v>1434</v>
      </c>
      <c r="C169" s="234" t="s">
        <v>1327</v>
      </c>
      <c r="D169" s="249" t="s">
        <v>1434</v>
      </c>
      <c r="E169" s="223" t="s">
        <v>460</v>
      </c>
      <c r="F169" s="223"/>
      <c r="G169" s="294" t="s">
        <v>460</v>
      </c>
      <c r="H169" s="214"/>
    </row>
    <row r="170" spans="2:8" x14ac:dyDescent="0.3">
      <c r="B170" s="242"/>
    </row>
    <row r="171" spans="2:8" x14ac:dyDescent="0.3">
      <c r="B171" s="242"/>
      <c r="C171" s="234" t="s">
        <v>1327</v>
      </c>
      <c r="E171" s="240" t="s">
        <v>462</v>
      </c>
      <c r="F171" s="240"/>
      <c r="G171" s="240" t="s">
        <v>462</v>
      </c>
    </row>
    <row r="172" spans="2:8" x14ac:dyDescent="0.3">
      <c r="B172" s="242"/>
      <c r="C172" s="234" t="s">
        <v>1327</v>
      </c>
      <c r="D172" s="249" t="s">
        <v>1278</v>
      </c>
      <c r="E172" s="223" t="s">
        <v>519</v>
      </c>
      <c r="F172" s="223"/>
      <c r="G172" s="223" t="s">
        <v>519</v>
      </c>
      <c r="H172" s="214"/>
    </row>
    <row r="173" spans="2:8" x14ac:dyDescent="0.3">
      <c r="B173" s="242"/>
      <c r="C173" s="234" t="s">
        <v>1327</v>
      </c>
      <c r="D173" s="249" t="s">
        <v>1278</v>
      </c>
      <c r="E173" s="223" t="s">
        <v>520</v>
      </c>
      <c r="F173" s="223"/>
      <c r="G173" s="223" t="s">
        <v>520</v>
      </c>
      <c r="H173" s="214"/>
    </row>
    <row r="174" spans="2:8" x14ac:dyDescent="0.3">
      <c r="B174" s="242"/>
      <c r="C174" s="234" t="s">
        <v>1327</v>
      </c>
      <c r="D174" s="249" t="s">
        <v>1278</v>
      </c>
      <c r="E174" s="223" t="s">
        <v>521</v>
      </c>
      <c r="F174" s="223"/>
      <c r="G174" s="223" t="s">
        <v>521</v>
      </c>
      <c r="H174" s="214"/>
    </row>
    <row r="175" spans="2:8" x14ac:dyDescent="0.3">
      <c r="B175" s="242"/>
      <c r="C175" s="234" t="s">
        <v>1327</v>
      </c>
      <c r="D175" s="249" t="s">
        <v>1278</v>
      </c>
      <c r="E175" s="223" t="s">
        <v>522</v>
      </c>
      <c r="F175" s="223"/>
      <c r="G175" s="223" t="s">
        <v>522</v>
      </c>
      <c r="H175" s="214"/>
    </row>
    <row r="176" spans="2:8" x14ac:dyDescent="0.3">
      <c r="B176" s="242"/>
      <c r="C176" s="234" t="s">
        <v>1327</v>
      </c>
      <c r="D176" s="249" t="s">
        <v>1278</v>
      </c>
      <c r="E176" s="223" t="s">
        <v>523</v>
      </c>
      <c r="F176" s="223"/>
      <c r="G176" s="223" t="s">
        <v>523</v>
      </c>
      <c r="H176" s="214"/>
    </row>
    <row r="177" spans="2:8" x14ac:dyDescent="0.3">
      <c r="B177" s="242"/>
      <c r="C177" s="234" t="s">
        <v>1327</v>
      </c>
      <c r="E177" s="245"/>
      <c r="F177" s="245"/>
      <c r="G177" s="245"/>
      <c r="H177" s="224"/>
    </row>
    <row r="178" spans="2:8" x14ac:dyDescent="0.3">
      <c r="B178" s="242"/>
      <c r="C178" s="234" t="s">
        <v>1327</v>
      </c>
      <c r="E178" s="246" t="s">
        <v>524</v>
      </c>
      <c r="F178" s="246"/>
      <c r="G178" s="246" t="s">
        <v>524</v>
      </c>
      <c r="H178" s="225"/>
    </row>
    <row r="179" spans="2:8" x14ac:dyDescent="0.3">
      <c r="B179" s="242"/>
      <c r="C179" s="234" t="s">
        <v>1327</v>
      </c>
      <c r="E179" s="223"/>
      <c r="F179" s="223"/>
      <c r="G179" s="223"/>
      <c r="H179" s="214"/>
    </row>
    <row r="180" spans="2:8" x14ac:dyDescent="0.3">
      <c r="B180" s="242"/>
      <c r="C180" s="234" t="s">
        <v>1327</v>
      </c>
      <c r="D180" s="249" t="s">
        <v>1279</v>
      </c>
      <c r="E180" s="223" t="s">
        <v>525</v>
      </c>
      <c r="F180" s="223"/>
      <c r="G180" s="223" t="s">
        <v>1323</v>
      </c>
      <c r="H180" s="226" t="e">
        <f>IF(AND(IFERROR(H95/H119,NA()),H80=Dropdown!A40),H95/H119,NA())</f>
        <v>#N/A</v>
      </c>
    </row>
    <row r="181" spans="2:8" x14ac:dyDescent="0.3">
      <c r="B181" s="242"/>
      <c r="C181" s="234" t="s">
        <v>1327</v>
      </c>
      <c r="D181" s="249" t="s">
        <v>1279</v>
      </c>
      <c r="E181" s="223" t="s">
        <v>526</v>
      </c>
      <c r="F181" s="223"/>
      <c r="G181" s="223" t="s">
        <v>1324</v>
      </c>
      <c r="H181" s="226" t="e">
        <f>IF(AND(IFERROR(H95/H119,NA()),H80=Dropdown!A41),H95/H119,NA())</f>
        <v>#N/A</v>
      </c>
    </row>
    <row r="182" spans="2:8" x14ac:dyDescent="0.3">
      <c r="B182" s="242"/>
      <c r="C182" s="234" t="s">
        <v>1327</v>
      </c>
      <c r="E182" s="223"/>
      <c r="F182" s="223"/>
      <c r="G182" s="223"/>
      <c r="H182" s="214"/>
    </row>
    <row r="183" spans="2:8" x14ac:dyDescent="0.3">
      <c r="B183" s="242"/>
      <c r="C183" s="234" t="s">
        <v>1327</v>
      </c>
      <c r="D183" s="249" t="s">
        <v>1279</v>
      </c>
      <c r="E183" s="223" t="s">
        <v>527</v>
      </c>
      <c r="F183" s="223"/>
      <c r="G183" s="223" t="s">
        <v>527</v>
      </c>
      <c r="H183" s="227" t="e">
        <f>IF(AND(IFERROR(H120/H119,NA()),H80=Dropdown!A40),H120/H119,NA())</f>
        <v>#N/A</v>
      </c>
    </row>
    <row r="184" spans="2:8" x14ac:dyDescent="0.3">
      <c r="B184" s="242"/>
      <c r="C184" s="234" t="s">
        <v>1327</v>
      </c>
      <c r="D184" s="249" t="s">
        <v>1279</v>
      </c>
      <c r="E184" s="223" t="s">
        <v>528</v>
      </c>
      <c r="F184" s="223"/>
      <c r="G184" s="223" t="s">
        <v>528</v>
      </c>
      <c r="H184" s="227" t="e">
        <f>IF(AND(IFERROR(H120/H119,NA()),H80=Dropdown!A41),H120/H119,NA())</f>
        <v>#N/A</v>
      </c>
    </row>
    <row r="185" spans="2:8" x14ac:dyDescent="0.3">
      <c r="B185" s="242"/>
      <c r="C185" s="234" t="s">
        <v>1327</v>
      </c>
      <c r="E185" s="223"/>
      <c r="F185" s="223"/>
      <c r="G185" s="223"/>
      <c r="H185" s="214"/>
    </row>
    <row r="186" spans="2:8" x14ac:dyDescent="0.3">
      <c r="B186" s="242"/>
      <c r="C186" s="234" t="s">
        <v>1327</v>
      </c>
      <c r="D186" s="249" t="s">
        <v>1279</v>
      </c>
      <c r="E186" s="223" t="s">
        <v>26</v>
      </c>
      <c r="F186" s="223"/>
      <c r="G186" s="223" t="s">
        <v>26</v>
      </c>
      <c r="H186" s="214" t="str">
        <f>IF(ISBLANK(H76)=TRUE,NA(),H76)</f>
        <v>Ja</v>
      </c>
    </row>
    <row r="187" spans="2:8" x14ac:dyDescent="0.3">
      <c r="B187" s="242"/>
      <c r="C187" s="234" t="s">
        <v>1327</v>
      </c>
      <c r="D187" s="249" t="s">
        <v>1279</v>
      </c>
      <c r="E187" s="223" t="s">
        <v>529</v>
      </c>
      <c r="F187" s="223"/>
      <c r="G187" s="223" t="s">
        <v>529</v>
      </c>
      <c r="H187" s="214" t="e">
        <f>IF(H143/H141&gt;=1,"ja","nein")</f>
        <v>#VALUE!</v>
      </c>
    </row>
    <row r="188" spans="2:8" x14ac:dyDescent="0.3">
      <c r="B188" s="242"/>
      <c r="C188" s="234" t="s">
        <v>1327</v>
      </c>
      <c r="D188" s="249" t="s">
        <v>1279</v>
      </c>
      <c r="E188" s="223" t="s">
        <v>530</v>
      </c>
      <c r="F188" s="223"/>
      <c r="G188" s="223" t="s">
        <v>530</v>
      </c>
      <c r="H188" s="214"/>
    </row>
    <row r="189" spans="2:8" x14ac:dyDescent="0.3">
      <c r="B189" s="242"/>
      <c r="C189" s="234" t="s">
        <v>1327</v>
      </c>
      <c r="D189" s="249" t="s">
        <v>1279</v>
      </c>
      <c r="E189" s="234" t="str">
        <f>"Speicher-Vol. zw. 100% und "&amp;TEXT(F189,"0%")</f>
        <v>Speicher-Vol. zw. 100% und 80%</v>
      </c>
      <c r="F189" s="312">
        <v>0.8</v>
      </c>
      <c r="G189" s="234" t="str">
        <f>"Speicher-Vol. zw. 100% und "&amp;TEXT(F189,"0%")</f>
        <v>Speicher-Vol. zw. 100% und 80%</v>
      </c>
      <c r="H189" s="227" t="e">
        <f>IF(OR(ISERROR(H187)=TRUE,H187="ja"),NA(),IF(AND(H143/H141&lt;=1,H143/H141&gt;$F189),H143/H141,NA()))</f>
        <v>#VALUE!</v>
      </c>
    </row>
    <row r="190" spans="2:8" x14ac:dyDescent="0.3">
      <c r="B190" s="242"/>
      <c r="C190" s="234" t="s">
        <v>1327</v>
      </c>
      <c r="D190" s="249" t="s">
        <v>1279</v>
      </c>
      <c r="E190" s="234" t="str">
        <f>"Speicher-Vol. zw. 100% und "&amp;TEXT(F190,"0%")</f>
        <v>Speicher-Vol. zw. 100% und 60%</v>
      </c>
      <c r="F190" s="312">
        <v>0.6</v>
      </c>
      <c r="G190" s="234" t="str">
        <f>"Speicher-Vol. zw. 100% und "&amp;TEXT(F190,"0%")</f>
        <v>Speicher-Vol. zw. 100% und 60%</v>
      </c>
      <c r="H190" s="227" t="e">
        <f>IF(OR(ISERROR(H187)=TRUE,H187="ja"),NA(),IF(AND(H143/H141&lt;=$F189,H143/H141&gt;$F190),H143/H141,NA()))</f>
        <v>#VALUE!</v>
      </c>
    </row>
    <row r="191" spans="2:8" x14ac:dyDescent="0.3">
      <c r="B191" s="242"/>
      <c r="C191" s="234" t="s">
        <v>1327</v>
      </c>
      <c r="D191" s="249" t="s">
        <v>1279</v>
      </c>
      <c r="E191" s="234" t="str">
        <f>"Speicher-Vol. zw. 100% und "&amp;TEXT(F191,"0%")</f>
        <v>Speicher-Vol. zw. 100% und 20%</v>
      </c>
      <c r="F191" s="312">
        <v>0.2</v>
      </c>
      <c r="G191" s="234" t="str">
        <f>"Speicher-Vol. zw. 100% und "&amp;TEXT(F191,"0%")</f>
        <v>Speicher-Vol. zw. 100% und 20%</v>
      </c>
      <c r="H191" s="227" t="e">
        <f>IF(OR(ISERROR(H187)=TRUE,H187="ja"),NA(),IF(AND(H143/H141&lt;=$F190,H143/H141&gt;$F191),H143/H141,NA()))</f>
        <v>#VALUE!</v>
      </c>
    </row>
    <row r="192" spans="2:8" x14ac:dyDescent="0.3">
      <c r="B192" s="242"/>
      <c r="C192" s="234" t="s">
        <v>1327</v>
      </c>
      <c r="E192" s="223"/>
      <c r="F192" s="223"/>
      <c r="G192" s="223"/>
      <c r="H192" s="214"/>
    </row>
    <row r="193" spans="2:8" x14ac:dyDescent="0.3">
      <c r="B193" s="242"/>
      <c r="C193" s="234" t="s">
        <v>1327</v>
      </c>
      <c r="E193" s="223"/>
      <c r="F193" s="223"/>
      <c r="G193" s="223"/>
      <c r="H193" s="228"/>
    </row>
    <row r="194" spans="2:8" x14ac:dyDescent="0.3">
      <c r="B194" s="242"/>
      <c r="C194" s="234" t="s">
        <v>1327</v>
      </c>
      <c r="D194" s="249" t="s">
        <v>1279</v>
      </c>
      <c r="E194" s="223" t="s">
        <v>531</v>
      </c>
      <c r="F194" s="223"/>
      <c r="G194" s="223" t="s">
        <v>531</v>
      </c>
      <c r="H194" s="227" t="e">
        <f>IF(IFERROR(((H95/H119)/H245)-1,NA()),(H95/H119)/H245-1,NA())</f>
        <v>#N/A</v>
      </c>
    </row>
    <row r="195" spans="2:8" x14ac:dyDescent="0.3">
      <c r="B195" s="242"/>
      <c r="C195" s="234" t="s">
        <v>1327</v>
      </c>
      <c r="E195" s="223"/>
      <c r="F195" s="223"/>
      <c r="G195" s="223"/>
      <c r="H195" s="214"/>
    </row>
    <row r="196" spans="2:8" x14ac:dyDescent="0.3">
      <c r="B196" s="242"/>
      <c r="C196" s="234" t="s">
        <v>1327</v>
      </c>
      <c r="E196" s="223"/>
      <c r="F196" s="223"/>
      <c r="G196" s="223"/>
      <c r="H196" s="214"/>
    </row>
    <row r="197" spans="2:8" x14ac:dyDescent="0.3">
      <c r="B197" s="242"/>
      <c r="C197" s="234" t="s">
        <v>1327</v>
      </c>
      <c r="D197" s="249" t="s">
        <v>1279</v>
      </c>
      <c r="E197" s="235" t="str">
        <f t="shared" ref="E197:G200" si="0">E63</f>
        <v>Kesselanlage</v>
      </c>
      <c r="F197" s="235"/>
      <c r="G197" s="235" t="str">
        <f t="shared" si="0"/>
        <v>Kesselanlage</v>
      </c>
      <c r="H197" s="229" t="e">
        <f>IF(H63=0,NA(),H63)</f>
        <v>#N/A</v>
      </c>
    </row>
    <row r="198" spans="2:8" x14ac:dyDescent="0.3">
      <c r="B198" s="242"/>
      <c r="C198" s="234" t="s">
        <v>1327</v>
      </c>
      <c r="D198" s="249" t="s">
        <v>1279</v>
      </c>
      <c r="E198" s="235" t="str">
        <f t="shared" si="0"/>
        <v>Heizungstechnikinstallation</v>
      </c>
      <c r="F198" s="235"/>
      <c r="G198" s="235" t="str">
        <f t="shared" si="0"/>
        <v>Heizungstechnikinstallation</v>
      </c>
      <c r="H198" s="229" t="e">
        <f>IF(H64=0,NA(),H64)</f>
        <v>#N/A</v>
      </c>
    </row>
    <row r="199" spans="2:8" x14ac:dyDescent="0.3">
      <c r="B199" s="242"/>
      <c r="C199" s="234" t="s">
        <v>1327</v>
      </c>
      <c r="D199" s="249" t="s">
        <v>1279</v>
      </c>
      <c r="E199" s="235" t="str">
        <f t="shared" si="0"/>
        <v>Elektroinstallation</v>
      </c>
      <c r="F199" s="235"/>
      <c r="G199" s="235" t="str">
        <f t="shared" si="0"/>
        <v>Elektroinstallation</v>
      </c>
      <c r="H199" s="229" t="e">
        <f>IF(H65=0,NA(),H65)</f>
        <v>#N/A</v>
      </c>
    </row>
    <row r="200" spans="2:8" x14ac:dyDescent="0.3">
      <c r="B200" s="242"/>
      <c r="C200" s="234" t="s">
        <v>1327</v>
      </c>
      <c r="D200" s="249" t="s">
        <v>1279</v>
      </c>
      <c r="E200" s="235" t="str">
        <f t="shared" si="0"/>
        <v>Bauliche Massnahmen</v>
      </c>
      <c r="F200" s="235"/>
      <c r="G200" s="235" t="str">
        <f t="shared" si="0"/>
        <v>Bauliche Massnahmen</v>
      </c>
      <c r="H200" s="229" t="e">
        <f>IF(H66=0,NA(),H66)</f>
        <v>#N/A</v>
      </c>
    </row>
    <row r="201" spans="2:8" x14ac:dyDescent="0.3">
      <c r="B201" s="242"/>
      <c r="C201" s="234" t="s">
        <v>1327</v>
      </c>
      <c r="D201" s="249" t="s">
        <v>1279</v>
      </c>
      <c r="E201" s="235" t="s">
        <v>532</v>
      </c>
      <c r="F201" s="235"/>
      <c r="G201" s="235" t="s">
        <v>532</v>
      </c>
      <c r="H201" s="229" t="e">
        <f>H197+H198+H199+H200</f>
        <v>#N/A</v>
      </c>
    </row>
    <row r="202" spans="2:8" x14ac:dyDescent="0.3">
      <c r="B202" s="242"/>
      <c r="C202" s="234" t="s">
        <v>1327</v>
      </c>
      <c r="D202" s="249" t="s">
        <v>1279</v>
      </c>
      <c r="E202" s="234" t="s">
        <v>533</v>
      </c>
      <c r="G202" s="234" t="s">
        <v>533</v>
      </c>
      <c r="H202" s="214" t="e">
        <f>IF(H119=0,NA(),H119)</f>
        <v>#N/A</v>
      </c>
    </row>
    <row r="203" spans="2:8" x14ac:dyDescent="0.3">
      <c r="B203" s="242"/>
      <c r="C203" s="234" t="s">
        <v>1327</v>
      </c>
      <c r="D203" s="249" t="s">
        <v>1279</v>
      </c>
      <c r="E203" s="223" t="s">
        <v>534</v>
      </c>
      <c r="F203" s="223"/>
      <c r="G203" s="223" t="s">
        <v>534</v>
      </c>
      <c r="H203" s="226" t="e">
        <f>H197/H202</f>
        <v>#N/A</v>
      </c>
    </row>
    <row r="204" spans="2:8" x14ac:dyDescent="0.3">
      <c r="B204" s="242"/>
      <c r="C204" s="234" t="s">
        <v>1327</v>
      </c>
      <c r="D204" s="249" t="s">
        <v>1279</v>
      </c>
      <c r="E204" s="223" t="s">
        <v>535</v>
      </c>
      <c r="F204" s="223"/>
      <c r="G204" s="223" t="s">
        <v>535</v>
      </c>
      <c r="H204" s="226" t="e">
        <f>H201/H202</f>
        <v>#N/A</v>
      </c>
    </row>
    <row r="205" spans="2:8" x14ac:dyDescent="0.3">
      <c r="B205" s="242"/>
      <c r="C205" s="234" t="s">
        <v>1327</v>
      </c>
      <c r="D205" s="249" t="s">
        <v>1279</v>
      </c>
      <c r="E205" s="234" t="s">
        <v>536</v>
      </c>
      <c r="G205" s="234" t="s">
        <v>536</v>
      </c>
      <c r="H205" s="229" t="e">
        <f>IF(H94=0,NA(),H94)</f>
        <v>#DIV/0!</v>
      </c>
    </row>
    <row r="206" spans="2:8" x14ac:dyDescent="0.3">
      <c r="B206" s="242"/>
      <c r="C206" s="234" t="s">
        <v>1327</v>
      </c>
      <c r="E206" s="223"/>
      <c r="F206" s="223"/>
      <c r="G206" s="223"/>
      <c r="H206" s="214"/>
    </row>
    <row r="207" spans="2:8" x14ac:dyDescent="0.3">
      <c r="B207" s="242"/>
      <c r="C207" s="234" t="s">
        <v>1327</v>
      </c>
      <c r="D207" s="249" t="s">
        <v>1279</v>
      </c>
      <c r="E207" s="223" t="s">
        <v>537</v>
      </c>
      <c r="F207" s="223"/>
      <c r="G207" s="223" t="s">
        <v>537</v>
      </c>
      <c r="H207" s="214" t="e">
        <f>IF(OR(ISNUMBER(H2)=FALSE,ISNUMBER(H4)=FALSE),NA(),H4-H2)</f>
        <v>#N/A</v>
      </c>
    </row>
    <row r="208" spans="2:8" x14ac:dyDescent="0.3">
      <c r="B208" s="242"/>
      <c r="C208" s="234" t="s">
        <v>1327</v>
      </c>
      <c r="D208" s="249" t="s">
        <v>1279</v>
      </c>
      <c r="E208" s="223" t="s">
        <v>537</v>
      </c>
      <c r="F208" s="223"/>
      <c r="G208" s="223" t="s">
        <v>537</v>
      </c>
      <c r="H208" s="213" t="e">
        <f>H207/365</f>
        <v>#N/A</v>
      </c>
    </row>
    <row r="209" spans="2:8" x14ac:dyDescent="0.3">
      <c r="B209" s="242"/>
      <c r="C209" s="234" t="s">
        <v>1327</v>
      </c>
    </row>
    <row r="210" spans="2:8" x14ac:dyDescent="0.3">
      <c r="B210" s="242"/>
      <c r="C210" s="234" t="s">
        <v>1327</v>
      </c>
    </row>
    <row r="211" spans="2:8" x14ac:dyDescent="0.3">
      <c r="B211" s="242"/>
      <c r="C211" s="234" t="s">
        <v>1327</v>
      </c>
    </row>
    <row r="212" spans="2:8" x14ac:dyDescent="0.3">
      <c r="B212" s="242"/>
      <c r="C212" s="234" t="s">
        <v>1327</v>
      </c>
      <c r="E212" s="247"/>
      <c r="F212" s="247"/>
      <c r="G212" s="247"/>
      <c r="H212" s="230"/>
    </row>
    <row r="213" spans="2:8" x14ac:dyDescent="0.3">
      <c r="B213" s="242"/>
      <c r="C213" s="234" t="s">
        <v>1327</v>
      </c>
      <c r="E213" s="243" t="s">
        <v>538</v>
      </c>
      <c r="F213" s="243"/>
      <c r="G213" s="243" t="s">
        <v>538</v>
      </c>
    </row>
    <row r="214" spans="2:8" x14ac:dyDescent="0.3">
      <c r="B214" s="242"/>
      <c r="C214" s="234" t="s">
        <v>1327</v>
      </c>
    </row>
    <row r="215" spans="2:8" x14ac:dyDescent="0.3">
      <c r="B215" s="242"/>
      <c r="C215" s="234" t="s">
        <v>1327</v>
      </c>
      <c r="E215" s="240" t="s">
        <v>539</v>
      </c>
      <c r="F215" s="240"/>
      <c r="G215" s="240" t="s">
        <v>539</v>
      </c>
    </row>
    <row r="216" spans="2:8" x14ac:dyDescent="0.3">
      <c r="B216" s="242"/>
      <c r="C216" s="234" t="s">
        <v>1327</v>
      </c>
      <c r="E216" s="242" t="s">
        <v>540</v>
      </c>
      <c r="F216" s="242"/>
      <c r="G216" s="242" t="s">
        <v>540</v>
      </c>
      <c r="H216" s="211"/>
    </row>
    <row r="217" spans="2:8" x14ac:dyDescent="0.3">
      <c r="B217" s="242"/>
      <c r="C217" s="234" t="s">
        <v>1327</v>
      </c>
      <c r="E217" s="232" t="s">
        <v>541</v>
      </c>
      <c r="F217" s="232"/>
      <c r="G217" s="232" t="s">
        <v>541</v>
      </c>
      <c r="H217" s="231" t="e">
        <f>ROUND(H95/1000,0)</f>
        <v>#DIV/0!</v>
      </c>
    </row>
    <row r="218" spans="2:8" x14ac:dyDescent="0.3">
      <c r="B218" s="242"/>
      <c r="C218" s="234" t="s">
        <v>1327</v>
      </c>
      <c r="E218" s="242" t="s">
        <v>542</v>
      </c>
      <c r="F218" s="242"/>
      <c r="G218" s="242" t="s">
        <v>542</v>
      </c>
      <c r="H218" s="211"/>
    </row>
    <row r="219" spans="2:8" x14ac:dyDescent="0.3">
      <c r="B219" s="242"/>
      <c r="C219" s="234" t="s">
        <v>1327</v>
      </c>
      <c r="E219" s="232" t="s">
        <v>543</v>
      </c>
      <c r="F219" s="232"/>
      <c r="G219" s="232" t="s">
        <v>543</v>
      </c>
      <c r="H219" s="232">
        <f>H119</f>
        <v>0</v>
      </c>
    </row>
    <row r="220" spans="2:8" x14ac:dyDescent="0.3">
      <c r="B220" s="242"/>
      <c r="C220" s="234" t="s">
        <v>1327</v>
      </c>
      <c r="E220" s="242" t="s">
        <v>544</v>
      </c>
      <c r="F220" s="242"/>
      <c r="G220" s="242" t="s">
        <v>544</v>
      </c>
      <c r="H220" s="211"/>
    </row>
    <row r="221" spans="2:8" x14ac:dyDescent="0.3">
      <c r="B221" s="242"/>
      <c r="C221" s="234" t="s">
        <v>1327</v>
      </c>
      <c r="E221" s="242" t="s">
        <v>545</v>
      </c>
      <c r="F221" s="242"/>
      <c r="G221" s="242" t="s">
        <v>545</v>
      </c>
      <c r="H221" s="211"/>
    </row>
    <row r="222" spans="2:8" x14ac:dyDescent="0.3">
      <c r="B222" s="242"/>
      <c r="C222" s="234" t="s">
        <v>1327</v>
      </c>
      <c r="E222" s="242" t="s">
        <v>546</v>
      </c>
      <c r="F222" s="242"/>
      <c r="G222" s="242" t="s">
        <v>546</v>
      </c>
      <c r="H222" s="211"/>
    </row>
    <row r="223" spans="2:8" x14ac:dyDescent="0.3">
      <c r="B223" s="242"/>
      <c r="C223" s="234" t="s">
        <v>1327</v>
      </c>
      <c r="E223" s="242" t="s">
        <v>547</v>
      </c>
      <c r="F223" s="242"/>
      <c r="G223" s="242" t="s">
        <v>547</v>
      </c>
      <c r="H223" s="211"/>
    </row>
    <row r="224" spans="2:8" x14ac:dyDescent="0.3">
      <c r="B224" s="242"/>
      <c r="C224" s="234" t="s">
        <v>1327</v>
      </c>
      <c r="E224" s="242" t="s">
        <v>545</v>
      </c>
      <c r="F224" s="242"/>
      <c r="G224" s="242" t="s">
        <v>545</v>
      </c>
      <c r="H224" s="211"/>
    </row>
    <row r="225" spans="2:8" x14ac:dyDescent="0.3">
      <c r="B225" s="242"/>
      <c r="C225" s="234" t="s">
        <v>1327</v>
      </c>
      <c r="E225" s="242" t="s">
        <v>546</v>
      </c>
      <c r="F225" s="242"/>
      <c r="G225" s="242" t="s">
        <v>546</v>
      </c>
      <c r="H225" s="211"/>
    </row>
    <row r="226" spans="2:8" x14ac:dyDescent="0.3">
      <c r="B226" s="242"/>
      <c r="C226" s="234" t="s">
        <v>1327</v>
      </c>
      <c r="E226" s="242" t="s">
        <v>548</v>
      </c>
      <c r="F226" s="242"/>
      <c r="G226" s="242" t="s">
        <v>548</v>
      </c>
      <c r="H226" s="211"/>
    </row>
    <row r="227" spans="2:8" x14ac:dyDescent="0.3">
      <c r="B227" s="242"/>
      <c r="C227" s="234" t="s">
        <v>1327</v>
      </c>
      <c r="E227" s="242" t="s">
        <v>545</v>
      </c>
      <c r="F227" s="242"/>
      <c r="G227" s="242" t="s">
        <v>545</v>
      </c>
      <c r="H227" s="211"/>
    </row>
    <row r="228" spans="2:8" x14ac:dyDescent="0.3">
      <c r="B228" s="242"/>
      <c r="C228" s="234" t="s">
        <v>1327</v>
      </c>
      <c r="E228" s="242" t="s">
        <v>546</v>
      </c>
      <c r="F228" s="242"/>
      <c r="G228" s="242" t="s">
        <v>546</v>
      </c>
      <c r="H228" s="211"/>
    </row>
    <row r="229" spans="2:8" x14ac:dyDescent="0.3">
      <c r="B229" s="242"/>
      <c r="C229" s="234" t="s">
        <v>1327</v>
      </c>
      <c r="E229" s="242" t="s">
        <v>549</v>
      </c>
      <c r="F229" s="242"/>
      <c r="G229" s="242" t="s">
        <v>549</v>
      </c>
      <c r="H229" s="211"/>
    </row>
    <row r="230" spans="2:8" x14ac:dyDescent="0.3">
      <c r="B230" s="242"/>
      <c r="C230" s="234" t="s">
        <v>1327</v>
      </c>
      <c r="E230" s="242" t="s">
        <v>550</v>
      </c>
      <c r="F230" s="242"/>
      <c r="G230" s="242" t="s">
        <v>550</v>
      </c>
      <c r="H230" s="211"/>
    </row>
    <row r="231" spans="2:8" x14ac:dyDescent="0.3">
      <c r="B231" s="242"/>
      <c r="C231" s="234" t="s">
        <v>1327</v>
      </c>
      <c r="E231" s="242" t="s">
        <v>551</v>
      </c>
      <c r="F231" s="242"/>
      <c r="G231" s="242" t="s">
        <v>551</v>
      </c>
      <c r="H231" s="211"/>
    </row>
    <row r="232" spans="2:8" x14ac:dyDescent="0.3">
      <c r="B232" s="242"/>
      <c r="C232" s="234" t="s">
        <v>1327</v>
      </c>
      <c r="E232" s="242" t="s">
        <v>552</v>
      </c>
      <c r="F232" s="242"/>
      <c r="G232" s="242" t="s">
        <v>552</v>
      </c>
      <c r="H232" s="211"/>
    </row>
    <row r="233" spans="2:8" x14ac:dyDescent="0.3">
      <c r="B233" s="242"/>
      <c r="C233" s="234" t="s">
        <v>1327</v>
      </c>
      <c r="E233" s="242" t="s">
        <v>553</v>
      </c>
      <c r="F233" s="242"/>
      <c r="G233" s="242" t="s">
        <v>553</v>
      </c>
      <c r="H233" s="211"/>
    </row>
    <row r="234" spans="2:8" x14ac:dyDescent="0.3">
      <c r="B234" s="242"/>
      <c r="C234" s="234" t="s">
        <v>1327</v>
      </c>
      <c r="E234" s="242" t="s">
        <v>554</v>
      </c>
      <c r="F234" s="242"/>
      <c r="G234" s="242" t="s">
        <v>554</v>
      </c>
      <c r="H234" s="211"/>
    </row>
    <row r="235" spans="2:8" x14ac:dyDescent="0.3">
      <c r="B235" s="242"/>
      <c r="C235" s="234" t="s">
        <v>1327</v>
      </c>
      <c r="E235" s="242" t="s">
        <v>555</v>
      </c>
      <c r="F235" s="242"/>
      <c r="G235" s="242" t="s">
        <v>555</v>
      </c>
      <c r="H235" s="211"/>
    </row>
    <row r="236" spans="2:8" x14ac:dyDescent="0.3">
      <c r="B236" s="242"/>
      <c r="C236" s="234" t="s">
        <v>1327</v>
      </c>
    </row>
    <row r="237" spans="2:8" x14ac:dyDescent="0.3">
      <c r="B237" s="242"/>
      <c r="C237" s="234" t="s">
        <v>1327</v>
      </c>
    </row>
    <row r="238" spans="2:8" x14ac:dyDescent="0.3">
      <c r="B238" s="242"/>
      <c r="C238" s="234" t="s">
        <v>1327</v>
      </c>
      <c r="E238" s="240" t="s">
        <v>556</v>
      </c>
      <c r="F238" s="240"/>
      <c r="G238" s="240" t="s">
        <v>556</v>
      </c>
    </row>
    <row r="239" spans="2:8" x14ac:dyDescent="0.3">
      <c r="B239" s="242"/>
      <c r="C239" s="234" t="s">
        <v>1327</v>
      </c>
      <c r="E239" s="232" t="s">
        <v>557</v>
      </c>
      <c r="F239" s="232"/>
      <c r="G239" s="232" t="s">
        <v>557</v>
      </c>
      <c r="H239" s="232" t="e">
        <f>ROUND(H216-H217,0)</f>
        <v>#DIV/0!</v>
      </c>
    </row>
    <row r="240" spans="2:8" x14ac:dyDescent="0.3">
      <c r="B240" s="242"/>
      <c r="C240" s="234" t="s">
        <v>1327</v>
      </c>
      <c r="E240" s="232"/>
      <c r="F240" s="232"/>
      <c r="G240" s="232"/>
      <c r="H240" s="232" t="e">
        <f>ROUND(H239/H217*100,0)</f>
        <v>#DIV/0!</v>
      </c>
    </row>
    <row r="241" spans="2:8" x14ac:dyDescent="0.3">
      <c r="B241" s="242"/>
      <c r="C241" s="234" t="s">
        <v>1327</v>
      </c>
      <c r="H241" s="233"/>
    </row>
    <row r="242" spans="2:8" x14ac:dyDescent="0.3">
      <c r="B242" s="242"/>
      <c r="C242" s="234" t="s">
        <v>1327</v>
      </c>
      <c r="E242" s="232" t="s">
        <v>558</v>
      </c>
      <c r="F242" s="232"/>
      <c r="G242" s="232" t="s">
        <v>558</v>
      </c>
      <c r="H242" s="232">
        <f>H218-H219</f>
        <v>0</v>
      </c>
    </row>
    <row r="243" spans="2:8" x14ac:dyDescent="0.3">
      <c r="B243" s="242"/>
      <c r="C243" s="234" t="s">
        <v>1327</v>
      </c>
      <c r="E243" s="232"/>
      <c r="F243" s="232"/>
      <c r="G243" s="232"/>
      <c r="H243" s="232" t="e">
        <f>ROUND(H242/H219*100,0)</f>
        <v>#DIV/0!</v>
      </c>
    </row>
    <row r="244" spans="2:8" x14ac:dyDescent="0.3">
      <c r="B244" s="242"/>
      <c r="C244" s="234" t="s">
        <v>1327</v>
      </c>
      <c r="H244" s="233"/>
    </row>
    <row r="245" spans="2:8" x14ac:dyDescent="0.3">
      <c r="B245" s="242"/>
      <c r="C245" s="234" t="s">
        <v>1327</v>
      </c>
      <c r="E245" s="232" t="s">
        <v>559</v>
      </c>
      <c r="F245" s="232"/>
      <c r="G245" s="232" t="s">
        <v>559</v>
      </c>
      <c r="H245" s="232" t="e">
        <f>ROUND(H216*1000/H218,0)</f>
        <v>#DIV/0!</v>
      </c>
    </row>
    <row r="246" spans="2:8" x14ac:dyDescent="0.3">
      <c r="B246" s="242"/>
      <c r="C246" s="234" t="s">
        <v>1327</v>
      </c>
      <c r="E246" s="232"/>
      <c r="F246" s="232"/>
      <c r="G246" s="232"/>
      <c r="H246" s="232" t="e">
        <f>ROUND((H245-2000)/2000*100,0)</f>
        <v>#DIV/0!</v>
      </c>
    </row>
    <row r="247" spans="2:8" x14ac:dyDescent="0.3">
      <c r="B247" s="242"/>
      <c r="C247" s="234" t="s">
        <v>1327</v>
      </c>
      <c r="H247" s="233"/>
    </row>
    <row r="248" spans="2:8" x14ac:dyDescent="0.3">
      <c r="B248" s="242"/>
      <c r="C248" s="234" t="s">
        <v>1327</v>
      </c>
      <c r="E248" s="223" t="s">
        <v>560</v>
      </c>
      <c r="F248" s="223"/>
      <c r="G248" s="223" t="s">
        <v>560</v>
      </c>
      <c r="H248" s="214"/>
    </row>
    <row r="249" spans="2:8" x14ac:dyDescent="0.3">
      <c r="B249" s="242"/>
      <c r="C249" s="234" t="s">
        <v>1327</v>
      </c>
      <c r="H249" s="233"/>
    </row>
    <row r="250" spans="2:8" x14ac:dyDescent="0.3">
      <c r="B250" s="242"/>
      <c r="C250" s="234" t="s">
        <v>1327</v>
      </c>
      <c r="E250" s="239" t="s">
        <v>548</v>
      </c>
      <c r="F250" s="239"/>
      <c r="G250" s="239" t="s">
        <v>548</v>
      </c>
      <c r="H250" s="214"/>
    </row>
    <row r="251" spans="2:8" x14ac:dyDescent="0.3">
      <c r="B251" s="242"/>
      <c r="C251" s="234" t="s">
        <v>1327</v>
      </c>
      <c r="H251" s="233"/>
    </row>
    <row r="252" spans="2:8" x14ac:dyDescent="0.3">
      <c r="B252" s="242"/>
      <c r="C252" s="234" t="s">
        <v>1327</v>
      </c>
      <c r="E252" s="235" t="s">
        <v>561</v>
      </c>
      <c r="F252" s="235"/>
      <c r="G252" s="235" t="s">
        <v>561</v>
      </c>
      <c r="H252" s="215"/>
    </row>
    <row r="253" spans="2:8" x14ac:dyDescent="0.3">
      <c r="B253" s="242"/>
      <c r="C253" s="234" t="s">
        <v>1327</v>
      </c>
      <c r="H253" s="233"/>
    </row>
    <row r="254" spans="2:8" x14ac:dyDescent="0.3">
      <c r="B254" s="242"/>
      <c r="C254" s="234" t="s">
        <v>1327</v>
      </c>
      <c r="E254" s="240" t="s">
        <v>562</v>
      </c>
      <c r="F254" s="240"/>
      <c r="G254" s="240" t="s">
        <v>562</v>
      </c>
    </row>
    <row r="255" spans="2:8" x14ac:dyDescent="0.3">
      <c r="B255" s="242"/>
      <c r="C255" s="234" t="s">
        <v>1327</v>
      </c>
      <c r="E255" s="223" t="s">
        <v>460</v>
      </c>
      <c r="F255" s="223"/>
      <c r="G255" s="223" t="s">
        <v>460</v>
      </c>
      <c r="H255" s="223"/>
    </row>
    <row r="256" spans="2:8" x14ac:dyDescent="0.3">
      <c r="B256" s="242"/>
      <c r="C256" s="234" t="s">
        <v>1327</v>
      </c>
      <c r="E256" s="223"/>
      <c r="F256" s="223"/>
      <c r="G256" s="223"/>
      <c r="H256" s="214"/>
    </row>
    <row r="257" spans="2:8" x14ac:dyDescent="0.3">
      <c r="B257" s="242"/>
      <c r="C257" s="234" t="s">
        <v>1327</v>
      </c>
      <c r="E257" s="248" t="s">
        <v>563</v>
      </c>
      <c r="F257" s="248"/>
      <c r="G257" s="248" t="s">
        <v>563</v>
      </c>
      <c r="H257" s="214"/>
    </row>
    <row r="258" spans="2:8" x14ac:dyDescent="0.3">
      <c r="B258" s="242"/>
      <c r="C258" s="234" t="s">
        <v>1327</v>
      </c>
      <c r="E258" s="223" t="s">
        <v>564</v>
      </c>
      <c r="F258" s="223"/>
      <c r="G258" s="223" t="s">
        <v>564</v>
      </c>
      <c r="H258" s="223"/>
    </row>
    <row r="259" spans="2:8" x14ac:dyDescent="0.3">
      <c r="B259" s="242"/>
      <c r="C259" s="234" t="s">
        <v>1327</v>
      </c>
      <c r="E259" s="223" t="s">
        <v>565</v>
      </c>
      <c r="F259" s="223"/>
      <c r="G259" s="223" t="s">
        <v>565</v>
      </c>
      <c r="H259" s="223"/>
    </row>
    <row r="260" spans="2:8" x14ac:dyDescent="0.3">
      <c r="B260" s="242"/>
      <c r="C260" s="234" t="s">
        <v>1327</v>
      </c>
      <c r="E260" s="223" t="s">
        <v>566</v>
      </c>
      <c r="F260" s="223"/>
      <c r="G260" s="223" t="s">
        <v>566</v>
      </c>
      <c r="H260" s="223"/>
    </row>
    <row r="261" spans="2:8" x14ac:dyDescent="0.3">
      <c r="B261" s="242"/>
      <c r="C261" s="234" t="s">
        <v>1327</v>
      </c>
      <c r="E261" s="223" t="s">
        <v>567</v>
      </c>
      <c r="F261" s="223"/>
      <c r="G261" s="223" t="s">
        <v>567</v>
      </c>
      <c r="H261" s="223"/>
    </row>
    <row r="262" spans="2:8" x14ac:dyDescent="0.3">
      <c r="B262" s="242"/>
      <c r="C262" s="234" t="s">
        <v>1327</v>
      </c>
      <c r="E262" s="223" t="s">
        <v>568</v>
      </c>
      <c r="F262" s="223"/>
      <c r="G262" s="223" t="s">
        <v>568</v>
      </c>
      <c r="H262" s="223"/>
    </row>
  </sheetData>
  <conditionalFormatting sqref="D2:D95">
    <cfRule type="cellIs" dxfId="34" priority="1" operator="equal">
      <formula>$A$9</formula>
    </cfRule>
    <cfRule type="cellIs" dxfId="33" priority="2" operator="equal">
      <formula>$A$8</formula>
    </cfRule>
    <cfRule type="cellIs" dxfId="32" priority="3" operator="equal">
      <formula>$A$7</formula>
    </cfRule>
    <cfRule type="cellIs" dxfId="31" priority="4" operator="equal">
      <formula>$A$6</formula>
    </cfRule>
  </conditionalFormatting>
  <conditionalFormatting sqref="D98:D153 D155:D262">
    <cfRule type="cellIs" dxfId="30" priority="5" operator="equal">
      <formula>$A$9</formula>
    </cfRule>
    <cfRule type="cellIs" dxfId="29" priority="7" operator="equal">
      <formula>$A$8</formula>
    </cfRule>
    <cfRule type="cellIs" dxfId="28" priority="8" operator="equal">
      <formula>$A$7</formula>
    </cfRule>
    <cfRule type="cellIs" dxfId="27" priority="9" operator="equal">
      <formula>$A$6</formula>
    </cfRule>
  </conditionalFormatting>
  <conditionalFormatting sqref="H12">
    <cfRule type="containsText" dxfId="26" priority="13" operator="containsText" text="Abwarten">
      <formula>NOT(ISERROR(SEARCH("Abwarten",H12)))</formula>
    </cfRule>
    <cfRule type="containsText" dxfId="25" priority="14" operator="containsText" text="Pendent">
      <formula>NOT(ISERROR(SEARCH("Pendent",H12)))</formula>
    </cfRule>
    <cfRule type="containsText" dxfId="24" priority="15" operator="containsText" text="ok">
      <formula>NOT(ISERROR(SEARCH("ok",H12)))</formula>
    </cfRule>
  </conditionalFormatting>
  <conditionalFormatting sqref="H15:H16">
    <cfRule type="beginsWith" dxfId="23" priority="11" operator="beginsWith" text="20">
      <formula>LEFT(H15,LEN("20"))="20"</formula>
    </cfRule>
    <cfRule type="containsBlanks" dxfId="22" priority="12">
      <formula>LEN(TRIM(H15))=0</formula>
    </cfRule>
  </conditionalFormatting>
  <conditionalFormatting sqref="H32:H41 H47 H115">
    <cfRule type="containsText" dxfId="21" priority="39" operator="containsText" text="ja">
      <formula>NOT(ISERROR(SEARCH("ja",H32)))</formula>
    </cfRule>
    <cfRule type="containsText" dxfId="20" priority="38" operator="containsText" text="nein">
      <formula>NOT(ISERROR(SEARCH("nein",H32)))</formula>
    </cfRule>
  </conditionalFormatting>
  <conditionalFormatting sqref="H48">
    <cfRule type="containsText" dxfId="19" priority="36" operator="containsText" text="nein">
      <formula>NOT(ISERROR(SEARCH("nein",H48)))</formula>
    </cfRule>
    <cfRule type="containsText" dxfId="18" priority="37" operator="containsText" text="ja">
      <formula>NOT(ISERROR(SEARCH("ja",H48)))</formula>
    </cfRule>
  </conditionalFormatting>
  <conditionalFormatting sqref="H110">
    <cfRule type="containsText" dxfId="17" priority="35" operator="containsText" text="!">
      <formula>NOT(ISERROR(SEARCH("!",H110)))</formula>
    </cfRule>
  </conditionalFormatting>
  <conditionalFormatting sqref="H127 H144 H167">
    <cfRule type="containsText" dxfId="16" priority="33" operator="containsText" text="ja">
      <formula>NOT(ISERROR(SEARCH("ja",H127)))</formula>
    </cfRule>
    <cfRule type="containsText" dxfId="15" priority="34" operator="containsText" text="nein">
      <formula>NOT(ISERROR(SEARCH("nein",H127)))</formula>
    </cfRule>
  </conditionalFormatting>
  <conditionalFormatting sqref="H135">
    <cfRule type="containsText" dxfId="14" priority="18" operator="containsText" text="kein">
      <formula>NOT(ISERROR(SEARCH("kein",H135)))</formula>
    </cfRule>
    <cfRule type="containsText" dxfId="13" priority="19" operator="containsText" text="ja">
      <formula>NOT(ISERROR(SEARCH("ja",H135)))</formula>
    </cfRule>
    <cfRule type="containsText" dxfId="12" priority="20" operator="containsText" text="nein">
      <formula>NOT(ISERROR(SEARCH("nein",H135)))</formula>
    </cfRule>
  </conditionalFormatting>
  <conditionalFormatting sqref="H152">
    <cfRule type="containsText" dxfId="11" priority="27" operator="containsText" text="empfohlener">
      <formula>NOT(ISERROR(SEARCH("empfohlener",H152)))</formula>
    </cfRule>
    <cfRule type="containsText" dxfId="10" priority="28" operator="containsText" text="i.O.">
      <formula>NOT(ISERROR(SEARCH("i.O.",H152)))</formula>
    </cfRule>
    <cfRule type="containsText" dxfId="9" priority="29" operator="containsText" text="grösser">
      <formula>NOT(ISERROR(SEARCH("grösser",H152)))</formula>
    </cfRule>
    <cfRule type="containsText" dxfId="8" priority="30" operator="containsText" text="zu klein">
      <formula>NOT(ISERROR(SEARCH("zu klein",H152)))</formula>
    </cfRule>
    <cfRule type="containsText" dxfId="7" priority="31" operator="containsText" text="ja">
      <formula>NOT(ISERROR(SEARCH("ja",H152)))</formula>
    </cfRule>
    <cfRule type="containsText" dxfId="6" priority="32" operator="containsText" text="nein">
      <formula>NOT(ISERROR(SEARCH("nein",H152)))</formula>
    </cfRule>
  </conditionalFormatting>
  <conditionalFormatting sqref="H241 H244 H247 H249 H251 H253">
    <cfRule type="containsText" dxfId="5" priority="24" operator="containsText" text=":-(">
      <formula>NOT(ISERROR(SEARCH(":-(",H241)))</formula>
    </cfRule>
    <cfRule type="containsText" dxfId="4" priority="25" operator="containsText" text=":-I">
      <formula>NOT(ISERROR(SEARCH(":-I",H241)))</formula>
    </cfRule>
    <cfRule type="containsText" dxfId="3" priority="26" operator="containsText" text=":-)">
      <formula>NOT(ISERROR(SEARCH(":-)",H241)))</formula>
    </cfRule>
  </conditionalFormatting>
  <conditionalFormatting sqref="H252">
    <cfRule type="containsText" dxfId="2" priority="21" operator="containsText" text="pendent">
      <formula>NOT(ISERROR(SEARCH("pendent",H252)))</formula>
    </cfRule>
    <cfRule type="containsText" dxfId="1" priority="23" operator="containsText" text="ja">
      <formula>NOT(ISERROR(SEARCH("ja",H252)))</formula>
    </cfRule>
    <cfRule type="containsText" dxfId="0" priority="22" operator="containsText" text="nein">
      <formula>NOT(ISERROR(SEARCH("nein",H252)))</formula>
    </cfRule>
  </conditionalFormatting>
  <dataValidations count="1">
    <dataValidation type="list" allowBlank="1" showInputMessage="1" showErrorMessage="1" sqref="D155:D262 D98:D153 D2:D95" xr:uid="{98ADF807-7E66-49F9-BCBC-133DA438F209}">
      <formula1>$A$6:$A$9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D1EF-A881-4C6F-B79B-8C57ADA9C3AC}">
  <sheetPr codeName="Tabelle8"/>
  <dimension ref="A1:AB37"/>
  <sheetViews>
    <sheetView zoomScale="140" zoomScaleNormal="140" workbookViewId="0">
      <selection activeCell="O39" sqref="O39"/>
    </sheetView>
  </sheetViews>
  <sheetFormatPr baseColWidth="10" defaultColWidth="10.640625" defaultRowHeight="15.9" x14ac:dyDescent="0.45"/>
  <cols>
    <col min="1" max="1" width="23.5703125" style="257" bestFit="1" customWidth="1"/>
    <col min="2" max="2" width="12.92578125" style="257" bestFit="1" customWidth="1"/>
    <col min="3" max="3" width="10.640625" style="257"/>
    <col min="4" max="7" width="9.5703125" style="257" customWidth="1"/>
    <col min="8" max="8" width="12.92578125" style="257" bestFit="1" customWidth="1"/>
    <col min="9" max="9" width="10.640625" style="257"/>
    <col min="10" max="13" width="9.5703125" style="257" customWidth="1"/>
    <col min="14" max="14" width="14.0703125" style="257" bestFit="1" customWidth="1"/>
    <col min="15" max="15" width="10.640625" style="257"/>
    <col min="16" max="19" width="9.5703125" style="257" customWidth="1"/>
    <col min="20" max="20" width="12.92578125" style="257" bestFit="1" customWidth="1"/>
    <col min="21" max="21" width="10.640625" style="257"/>
    <col min="22" max="27" width="9.5703125" style="257" customWidth="1"/>
    <col min="28" max="16384" width="10.640625" style="257"/>
  </cols>
  <sheetData>
    <row r="1" spans="1:28" x14ac:dyDescent="0.45">
      <c r="B1" s="257" t="s">
        <v>31</v>
      </c>
      <c r="H1" s="257" t="s">
        <v>38</v>
      </c>
      <c r="N1" s="257" t="s">
        <v>1386</v>
      </c>
      <c r="T1" s="257" t="s">
        <v>33</v>
      </c>
    </row>
    <row r="2" spans="1:28" ht="16.3" thickBot="1" x14ac:dyDescent="0.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</row>
    <row r="3" spans="1:28" ht="16.3" thickBot="1" x14ac:dyDescent="0.5">
      <c r="A3" s="256"/>
      <c r="B3" s="256"/>
      <c r="C3" s="256"/>
      <c r="D3" s="258" t="s">
        <v>119</v>
      </c>
      <c r="E3" s="259"/>
      <c r="F3" s="260"/>
      <c r="H3" s="256"/>
      <c r="I3" s="256"/>
      <c r="J3" s="258" t="s">
        <v>1082</v>
      </c>
      <c r="K3" s="259"/>
      <c r="L3" s="260"/>
      <c r="N3" s="256"/>
      <c r="O3" s="256"/>
      <c r="P3" s="258" t="s">
        <v>759</v>
      </c>
      <c r="Q3" s="259"/>
      <c r="R3" s="260"/>
      <c r="T3" s="256"/>
      <c r="U3" s="256"/>
      <c r="V3" s="258" t="s">
        <v>119</v>
      </c>
      <c r="W3" s="259"/>
      <c r="X3" s="260"/>
      <c r="AB3" s="256"/>
    </row>
    <row r="4" spans="1:28" ht="16.3" thickBot="1" x14ac:dyDescent="0.5">
      <c r="A4" s="256"/>
      <c r="B4" s="261" t="s">
        <v>210</v>
      </c>
      <c r="C4" s="262" t="s">
        <v>175</v>
      </c>
      <c r="D4" s="286">
        <v>15</v>
      </c>
      <c r="E4" s="286">
        <v>13</v>
      </c>
      <c r="F4" s="286">
        <v>11</v>
      </c>
      <c r="H4" s="261" t="s">
        <v>1412</v>
      </c>
      <c r="I4" s="262" t="s">
        <v>175</v>
      </c>
      <c r="J4" s="286">
        <v>15</v>
      </c>
      <c r="K4" s="286">
        <v>13</v>
      </c>
      <c r="L4" s="286">
        <v>11</v>
      </c>
      <c r="N4" s="261" t="s">
        <v>1387</v>
      </c>
      <c r="O4" s="262" t="s">
        <v>175</v>
      </c>
      <c r="P4" s="286">
        <v>15</v>
      </c>
      <c r="Q4" s="286">
        <v>13</v>
      </c>
      <c r="R4" s="286">
        <v>11</v>
      </c>
      <c r="T4" s="261" t="s">
        <v>210</v>
      </c>
      <c r="U4" s="262" t="s">
        <v>175</v>
      </c>
      <c r="V4" s="286">
        <v>15</v>
      </c>
      <c r="W4" s="286">
        <v>13</v>
      </c>
      <c r="X4" s="286">
        <v>11</v>
      </c>
      <c r="AB4" s="256"/>
    </row>
    <row r="5" spans="1:28" ht="16.3" thickBot="1" x14ac:dyDescent="0.5">
      <c r="A5" s="256"/>
      <c r="B5" s="263" t="s">
        <v>79</v>
      </c>
      <c r="C5" s="264" t="s">
        <v>211</v>
      </c>
      <c r="D5" s="265" t="s">
        <v>1231</v>
      </c>
      <c r="E5" s="265" t="s">
        <v>1232</v>
      </c>
      <c r="F5" s="266" t="s">
        <v>1233</v>
      </c>
      <c r="H5" s="263" t="s">
        <v>355</v>
      </c>
      <c r="I5" s="264" t="s">
        <v>211</v>
      </c>
      <c r="J5" s="265" t="s">
        <v>1231</v>
      </c>
      <c r="K5" s="265" t="s">
        <v>1232</v>
      </c>
      <c r="L5" s="266" t="s">
        <v>1233</v>
      </c>
      <c r="N5" s="263" t="s">
        <v>1388</v>
      </c>
      <c r="O5" s="264" t="s">
        <v>211</v>
      </c>
      <c r="P5" s="265" t="s">
        <v>1231</v>
      </c>
      <c r="Q5" s="265" t="s">
        <v>1232</v>
      </c>
      <c r="R5" s="266" t="s">
        <v>1233</v>
      </c>
      <c r="T5" s="263" t="s">
        <v>79</v>
      </c>
      <c r="U5" s="264" t="s">
        <v>211</v>
      </c>
      <c r="V5" s="265" t="s">
        <v>1231</v>
      </c>
      <c r="W5" s="265" t="s">
        <v>1232</v>
      </c>
      <c r="X5" s="266" t="s">
        <v>1233</v>
      </c>
      <c r="AB5" s="256"/>
    </row>
    <row r="6" spans="1:28" ht="16.3" thickBot="1" x14ac:dyDescent="0.5">
      <c r="A6" s="256"/>
      <c r="B6" s="267" t="s">
        <v>218</v>
      </c>
      <c r="C6" s="255" t="s">
        <v>1275</v>
      </c>
      <c r="D6" s="265" t="s">
        <v>1240</v>
      </c>
      <c r="E6" s="265" t="s">
        <v>1241</v>
      </c>
      <c r="F6" s="266" t="s">
        <v>1242</v>
      </c>
      <c r="H6" s="267" t="s">
        <v>1409</v>
      </c>
      <c r="I6" s="255" t="s">
        <v>1275</v>
      </c>
      <c r="J6" s="265" t="s">
        <v>1240</v>
      </c>
      <c r="K6" s="265" t="s">
        <v>1241</v>
      </c>
      <c r="L6" s="266" t="s">
        <v>1242</v>
      </c>
      <c r="N6" s="267" t="s">
        <v>1391</v>
      </c>
      <c r="O6" s="255" t="s">
        <v>1275</v>
      </c>
      <c r="P6" s="265" t="s">
        <v>1240</v>
      </c>
      <c r="Q6" s="265" t="s">
        <v>1241</v>
      </c>
      <c r="R6" s="266" t="s">
        <v>1242</v>
      </c>
      <c r="T6" s="267" t="s">
        <v>218</v>
      </c>
      <c r="U6" s="255" t="s">
        <v>1275</v>
      </c>
      <c r="V6" s="265" t="s">
        <v>1240</v>
      </c>
      <c r="W6" s="265" t="s">
        <v>1241</v>
      </c>
      <c r="X6" s="266" t="s">
        <v>1242</v>
      </c>
      <c r="AB6" s="256"/>
    </row>
    <row r="7" spans="1:28" ht="16.3" thickBot="1" x14ac:dyDescent="0.5">
      <c r="A7" s="256"/>
      <c r="B7" s="268" t="s">
        <v>207</v>
      </c>
      <c r="C7" s="269" t="s">
        <v>1276</v>
      </c>
      <c r="D7" s="265" t="s">
        <v>1246</v>
      </c>
      <c r="E7" s="265" t="s">
        <v>1247</v>
      </c>
      <c r="F7" s="266" t="s">
        <v>1248</v>
      </c>
      <c r="H7" s="268" t="s">
        <v>207</v>
      </c>
      <c r="I7" s="269" t="s">
        <v>1276</v>
      </c>
      <c r="J7" s="265" t="s">
        <v>1246</v>
      </c>
      <c r="K7" s="265" t="s">
        <v>1247</v>
      </c>
      <c r="L7" s="266" t="s">
        <v>1248</v>
      </c>
      <c r="N7" s="268" t="s">
        <v>207</v>
      </c>
      <c r="O7" s="269" t="s">
        <v>1276</v>
      </c>
      <c r="P7" s="265" t="s">
        <v>1246</v>
      </c>
      <c r="Q7" s="265" t="s">
        <v>1247</v>
      </c>
      <c r="R7" s="266" t="s">
        <v>1248</v>
      </c>
      <c r="T7" s="268" t="s">
        <v>207</v>
      </c>
      <c r="U7" s="269" t="s">
        <v>1276</v>
      </c>
      <c r="V7" s="265" t="s">
        <v>1246</v>
      </c>
      <c r="W7" s="265" t="s">
        <v>1247</v>
      </c>
      <c r="X7" s="266" t="s">
        <v>1248</v>
      </c>
      <c r="AB7" s="256"/>
    </row>
    <row r="8" spans="1:28" ht="16.3" thickBot="1" x14ac:dyDescent="0.5">
      <c r="A8" s="256"/>
      <c r="B8" s="263" t="s">
        <v>80</v>
      </c>
      <c r="C8" s="264" t="s">
        <v>211</v>
      </c>
      <c r="D8" s="265" t="s">
        <v>1253</v>
      </c>
      <c r="E8" s="265" t="s">
        <v>1254</v>
      </c>
      <c r="F8" s="266" t="s">
        <v>1232</v>
      </c>
      <c r="H8" s="263" t="s">
        <v>356</v>
      </c>
      <c r="I8" s="264" t="s">
        <v>211</v>
      </c>
      <c r="J8" s="265" t="s">
        <v>1253</v>
      </c>
      <c r="K8" s="265" t="s">
        <v>1254</v>
      </c>
      <c r="L8" s="266" t="s">
        <v>1232</v>
      </c>
      <c r="N8" s="263" t="s">
        <v>1389</v>
      </c>
      <c r="O8" s="264" t="s">
        <v>211</v>
      </c>
      <c r="P8" s="265" t="s">
        <v>1253</v>
      </c>
      <c r="Q8" s="265" t="s">
        <v>1254</v>
      </c>
      <c r="R8" s="266" t="s">
        <v>1232</v>
      </c>
      <c r="T8" s="263" t="s">
        <v>80</v>
      </c>
      <c r="U8" s="264" t="s">
        <v>211</v>
      </c>
      <c r="V8" s="265" t="s">
        <v>1253</v>
      </c>
      <c r="W8" s="265" t="s">
        <v>1254</v>
      </c>
      <c r="X8" s="266" t="s">
        <v>1232</v>
      </c>
      <c r="AB8" s="256"/>
    </row>
    <row r="9" spans="1:28" ht="16.3" thickBot="1" x14ac:dyDescent="0.5">
      <c r="A9" s="256"/>
      <c r="B9" s="267" t="s">
        <v>217</v>
      </c>
      <c r="C9" s="255" t="s">
        <v>1275</v>
      </c>
      <c r="D9" s="265" t="s">
        <v>1259</v>
      </c>
      <c r="E9" s="265" t="s">
        <v>1260</v>
      </c>
      <c r="F9" s="266" t="s">
        <v>1261</v>
      </c>
      <c r="H9" s="267" t="s">
        <v>1410</v>
      </c>
      <c r="I9" s="255" t="s">
        <v>1275</v>
      </c>
      <c r="J9" s="265" t="s">
        <v>1259</v>
      </c>
      <c r="K9" s="265" t="s">
        <v>1260</v>
      </c>
      <c r="L9" s="266" t="s">
        <v>1261</v>
      </c>
      <c r="N9" s="267" t="s">
        <v>1392</v>
      </c>
      <c r="O9" s="255" t="s">
        <v>1275</v>
      </c>
      <c r="P9" s="265" t="s">
        <v>1259</v>
      </c>
      <c r="Q9" s="265" t="s">
        <v>1260</v>
      </c>
      <c r="R9" s="266" t="s">
        <v>1261</v>
      </c>
      <c r="T9" s="267" t="s">
        <v>217</v>
      </c>
      <c r="U9" s="255" t="s">
        <v>1275</v>
      </c>
      <c r="V9" s="265" t="s">
        <v>1259</v>
      </c>
      <c r="W9" s="265" t="s">
        <v>1260</v>
      </c>
      <c r="X9" s="266" t="s">
        <v>1261</v>
      </c>
      <c r="AB9" s="256"/>
    </row>
    <row r="10" spans="1:28" ht="16.3" thickBot="1" x14ac:dyDescent="0.5">
      <c r="A10" s="256"/>
      <c r="B10" s="268" t="s">
        <v>208</v>
      </c>
      <c r="C10" s="269" t="s">
        <v>1276</v>
      </c>
      <c r="D10" s="265" t="s">
        <v>1246</v>
      </c>
      <c r="E10" s="265" t="s">
        <v>1247</v>
      </c>
      <c r="F10" s="266" t="s">
        <v>1248</v>
      </c>
      <c r="H10" s="268" t="s">
        <v>208</v>
      </c>
      <c r="I10" s="269" t="s">
        <v>1276</v>
      </c>
      <c r="J10" s="265" t="s">
        <v>1246</v>
      </c>
      <c r="K10" s="265" t="s">
        <v>1247</v>
      </c>
      <c r="L10" s="266" t="s">
        <v>1248</v>
      </c>
      <c r="N10" s="268" t="s">
        <v>208</v>
      </c>
      <c r="O10" s="269" t="s">
        <v>1276</v>
      </c>
      <c r="P10" s="265" t="s">
        <v>1246</v>
      </c>
      <c r="Q10" s="265" t="s">
        <v>1247</v>
      </c>
      <c r="R10" s="266" t="s">
        <v>1248</v>
      </c>
      <c r="T10" s="268" t="s">
        <v>208</v>
      </c>
      <c r="U10" s="269" t="s">
        <v>1276</v>
      </c>
      <c r="V10" s="265" t="s">
        <v>1246</v>
      </c>
      <c r="W10" s="265" t="s">
        <v>1247</v>
      </c>
      <c r="X10" s="266" t="s">
        <v>1248</v>
      </c>
      <c r="AB10" s="256"/>
    </row>
    <row r="11" spans="1:28" ht="16.3" thickBot="1" x14ac:dyDescent="0.5">
      <c r="A11" s="256"/>
      <c r="B11" s="263" t="s">
        <v>81</v>
      </c>
      <c r="C11" s="264" t="s">
        <v>211</v>
      </c>
      <c r="D11" s="265" t="s">
        <v>1258</v>
      </c>
      <c r="E11" s="265" t="s">
        <v>1265</v>
      </c>
      <c r="F11" s="266" t="s">
        <v>1237</v>
      </c>
      <c r="H11" s="263" t="s">
        <v>357</v>
      </c>
      <c r="I11" s="264" t="s">
        <v>211</v>
      </c>
      <c r="J11" s="265" t="s">
        <v>1258</v>
      </c>
      <c r="K11" s="265" t="s">
        <v>1265</v>
      </c>
      <c r="L11" s="266" t="s">
        <v>1237</v>
      </c>
      <c r="N11" s="263" t="s">
        <v>1390</v>
      </c>
      <c r="O11" s="264" t="s">
        <v>211</v>
      </c>
      <c r="P11" s="265" t="s">
        <v>1258</v>
      </c>
      <c r="Q11" s="265" t="s">
        <v>1265</v>
      </c>
      <c r="R11" s="266" t="s">
        <v>1237</v>
      </c>
      <c r="T11" s="263" t="s">
        <v>81</v>
      </c>
      <c r="U11" s="264" t="s">
        <v>211</v>
      </c>
      <c r="V11" s="265" t="s">
        <v>1258</v>
      </c>
      <c r="W11" s="265" t="s">
        <v>1265</v>
      </c>
      <c r="X11" s="266" t="s">
        <v>1237</v>
      </c>
      <c r="AB11" s="256"/>
    </row>
    <row r="12" spans="1:28" ht="16.3" thickBot="1" x14ac:dyDescent="0.5">
      <c r="A12" s="256"/>
      <c r="B12" s="267" t="s">
        <v>216</v>
      </c>
      <c r="C12" s="255" t="s">
        <v>1275</v>
      </c>
      <c r="D12" s="265" t="s">
        <v>1271</v>
      </c>
      <c r="E12" s="265" t="s">
        <v>1272</v>
      </c>
      <c r="F12" s="266" t="s">
        <v>1273</v>
      </c>
      <c r="H12" s="267" t="s">
        <v>1411</v>
      </c>
      <c r="I12" s="255" t="s">
        <v>1275</v>
      </c>
      <c r="J12" s="265" t="s">
        <v>1271</v>
      </c>
      <c r="K12" s="265" t="s">
        <v>1272</v>
      </c>
      <c r="L12" s="266" t="s">
        <v>1273</v>
      </c>
      <c r="N12" s="267" t="s">
        <v>1393</v>
      </c>
      <c r="O12" s="255" t="s">
        <v>1275</v>
      </c>
      <c r="P12" s="265" t="s">
        <v>1271</v>
      </c>
      <c r="Q12" s="265" t="s">
        <v>1272</v>
      </c>
      <c r="R12" s="266" t="s">
        <v>1273</v>
      </c>
      <c r="T12" s="267" t="s">
        <v>216</v>
      </c>
      <c r="U12" s="255" t="s">
        <v>1275</v>
      </c>
      <c r="V12" s="265" t="s">
        <v>1271</v>
      </c>
      <c r="W12" s="265" t="s">
        <v>1272</v>
      </c>
      <c r="X12" s="266" t="s">
        <v>1273</v>
      </c>
      <c r="AB12" s="256"/>
    </row>
    <row r="13" spans="1:28" ht="16.3" thickBot="1" x14ac:dyDescent="0.5">
      <c r="A13" s="256"/>
      <c r="B13" s="268" t="s">
        <v>209</v>
      </c>
      <c r="C13" s="269" t="s">
        <v>1276</v>
      </c>
      <c r="D13" s="270" t="s">
        <v>1246</v>
      </c>
      <c r="E13" s="270" t="s">
        <v>1247</v>
      </c>
      <c r="F13" s="271" t="s">
        <v>1248</v>
      </c>
      <c r="H13" s="268" t="s">
        <v>209</v>
      </c>
      <c r="I13" s="269" t="s">
        <v>1276</v>
      </c>
      <c r="J13" s="270" t="s">
        <v>1246</v>
      </c>
      <c r="K13" s="270" t="s">
        <v>1247</v>
      </c>
      <c r="L13" s="271" t="s">
        <v>1248</v>
      </c>
      <c r="N13" s="268" t="s">
        <v>209</v>
      </c>
      <c r="O13" s="269" t="s">
        <v>1276</v>
      </c>
      <c r="P13" s="270" t="s">
        <v>1246</v>
      </c>
      <c r="Q13" s="270" t="s">
        <v>1247</v>
      </c>
      <c r="R13" s="271" t="s">
        <v>1248</v>
      </c>
      <c r="T13" s="268" t="s">
        <v>209</v>
      </c>
      <c r="U13" s="269" t="s">
        <v>1276</v>
      </c>
      <c r="V13" s="270" t="s">
        <v>1246</v>
      </c>
      <c r="W13" s="270" t="s">
        <v>1247</v>
      </c>
      <c r="X13" s="271" t="s">
        <v>1248</v>
      </c>
      <c r="AB13" s="256"/>
    </row>
    <row r="14" spans="1:28" ht="4" customHeight="1" thickBot="1" x14ac:dyDescent="0.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ht="16.3" thickBot="1" x14ac:dyDescent="0.5">
      <c r="D15" s="272" t="s">
        <v>214</v>
      </c>
      <c r="E15" s="273"/>
      <c r="F15" s="274"/>
      <c r="J15" s="272" t="s">
        <v>1083</v>
      </c>
      <c r="K15" s="273"/>
      <c r="L15" s="274"/>
      <c r="P15" s="272" t="s">
        <v>760</v>
      </c>
      <c r="Q15" s="273"/>
      <c r="R15" s="274"/>
      <c r="V15" s="272" t="s">
        <v>214</v>
      </c>
      <c r="W15" s="273"/>
      <c r="X15" s="274"/>
    </row>
    <row r="16" spans="1:28" ht="16.3" thickBot="1" x14ac:dyDescent="0.5">
      <c r="B16" s="261" t="s">
        <v>210</v>
      </c>
      <c r="C16" s="262" t="s">
        <v>175</v>
      </c>
      <c r="D16" s="287">
        <v>15</v>
      </c>
      <c r="E16" s="287">
        <v>13</v>
      </c>
      <c r="F16" s="287">
        <v>11</v>
      </c>
      <c r="H16" s="261" t="s">
        <v>1412</v>
      </c>
      <c r="I16" s="262" t="s">
        <v>175</v>
      </c>
      <c r="J16" s="287">
        <v>15</v>
      </c>
      <c r="K16" s="287">
        <v>13</v>
      </c>
      <c r="L16" s="287">
        <v>11</v>
      </c>
      <c r="N16" s="261" t="s">
        <v>1387</v>
      </c>
      <c r="O16" s="262" t="s">
        <v>175</v>
      </c>
      <c r="P16" s="287">
        <v>15</v>
      </c>
      <c r="Q16" s="287">
        <v>13</v>
      </c>
      <c r="R16" s="287">
        <v>11</v>
      </c>
      <c r="T16" s="261" t="s">
        <v>210</v>
      </c>
      <c r="U16" s="262" t="s">
        <v>175</v>
      </c>
      <c r="V16" s="287">
        <v>15</v>
      </c>
      <c r="W16" s="287">
        <v>13</v>
      </c>
      <c r="X16" s="287">
        <v>11</v>
      </c>
    </row>
    <row r="17" spans="2:24" ht="16.3" thickBot="1" x14ac:dyDescent="0.5">
      <c r="B17" s="263" t="s">
        <v>79</v>
      </c>
      <c r="C17" s="264" t="s">
        <v>211</v>
      </c>
      <c r="D17" s="275" t="s">
        <v>1234</v>
      </c>
      <c r="E17" s="275" t="s">
        <v>1235</v>
      </c>
      <c r="F17" s="276" t="s">
        <v>1236</v>
      </c>
      <c r="H17" s="263" t="s">
        <v>355</v>
      </c>
      <c r="I17" s="264" t="s">
        <v>211</v>
      </c>
      <c r="J17" s="275" t="s">
        <v>1234</v>
      </c>
      <c r="K17" s="275" t="s">
        <v>1235</v>
      </c>
      <c r="L17" s="276" t="s">
        <v>1236</v>
      </c>
      <c r="N17" s="263" t="s">
        <v>1388</v>
      </c>
      <c r="O17" s="264" t="s">
        <v>211</v>
      </c>
      <c r="P17" s="275" t="s">
        <v>1234</v>
      </c>
      <c r="Q17" s="275" t="s">
        <v>1235</v>
      </c>
      <c r="R17" s="276" t="s">
        <v>1236</v>
      </c>
      <c r="T17" s="263" t="s">
        <v>79</v>
      </c>
      <c r="U17" s="264" t="s">
        <v>211</v>
      </c>
      <c r="V17" s="275" t="s">
        <v>1234</v>
      </c>
      <c r="W17" s="275" t="s">
        <v>1235</v>
      </c>
      <c r="X17" s="276" t="s">
        <v>1236</v>
      </c>
    </row>
    <row r="18" spans="2:24" ht="16.3" thickBot="1" x14ac:dyDescent="0.5">
      <c r="B18" s="267" t="s">
        <v>218</v>
      </c>
      <c r="C18" s="255" t="s">
        <v>1275</v>
      </c>
      <c r="D18" s="275" t="s">
        <v>1243</v>
      </c>
      <c r="E18" s="275" t="s">
        <v>1244</v>
      </c>
      <c r="F18" s="276" t="s">
        <v>1245</v>
      </c>
      <c r="H18" s="267" t="s">
        <v>1409</v>
      </c>
      <c r="I18" s="255" t="s">
        <v>212</v>
      </c>
      <c r="J18" s="275" t="s">
        <v>1243</v>
      </c>
      <c r="K18" s="275" t="s">
        <v>1244</v>
      </c>
      <c r="L18" s="276" t="s">
        <v>1245</v>
      </c>
      <c r="N18" s="267" t="s">
        <v>1391</v>
      </c>
      <c r="O18" s="255" t="s">
        <v>1275</v>
      </c>
      <c r="P18" s="275" t="s">
        <v>1243</v>
      </c>
      <c r="Q18" s="275" t="s">
        <v>1244</v>
      </c>
      <c r="R18" s="276" t="s">
        <v>1245</v>
      </c>
      <c r="T18" s="267" t="s">
        <v>218</v>
      </c>
      <c r="U18" s="255" t="s">
        <v>1275</v>
      </c>
      <c r="V18" s="275" t="s">
        <v>1243</v>
      </c>
      <c r="W18" s="275" t="s">
        <v>1244</v>
      </c>
      <c r="X18" s="276" t="s">
        <v>1245</v>
      </c>
    </row>
    <row r="19" spans="2:24" ht="16.3" thickBot="1" x14ac:dyDescent="0.5">
      <c r="B19" s="268" t="s">
        <v>207</v>
      </c>
      <c r="C19" s="269" t="s">
        <v>1276</v>
      </c>
      <c r="D19" s="275" t="s">
        <v>1249</v>
      </c>
      <c r="E19" s="275" t="s">
        <v>1245</v>
      </c>
      <c r="F19" s="276" t="s">
        <v>1250</v>
      </c>
      <c r="H19" s="268" t="s">
        <v>207</v>
      </c>
      <c r="I19" s="269" t="s">
        <v>213</v>
      </c>
      <c r="J19" s="275" t="s">
        <v>1249</v>
      </c>
      <c r="K19" s="275" t="s">
        <v>1245</v>
      </c>
      <c r="L19" s="276" t="s">
        <v>1250</v>
      </c>
      <c r="N19" s="268" t="s">
        <v>207</v>
      </c>
      <c r="O19" s="269" t="s">
        <v>1276</v>
      </c>
      <c r="P19" s="275" t="s">
        <v>1249</v>
      </c>
      <c r="Q19" s="275" t="s">
        <v>1245</v>
      </c>
      <c r="R19" s="276" t="s">
        <v>1250</v>
      </c>
      <c r="T19" s="268" t="s">
        <v>207</v>
      </c>
      <c r="U19" s="269" t="s">
        <v>1276</v>
      </c>
      <c r="V19" s="275" t="s">
        <v>1249</v>
      </c>
      <c r="W19" s="275" t="s">
        <v>1245</v>
      </c>
      <c r="X19" s="276" t="s">
        <v>1250</v>
      </c>
    </row>
    <row r="20" spans="2:24" ht="16.3" thickBot="1" x14ac:dyDescent="0.5">
      <c r="B20" s="263" t="s">
        <v>80</v>
      </c>
      <c r="C20" s="264" t="s">
        <v>211</v>
      </c>
      <c r="D20" s="275" t="s">
        <v>1255</v>
      </c>
      <c r="E20" s="275" t="s">
        <v>1256</v>
      </c>
      <c r="F20" s="276" t="s">
        <v>1257</v>
      </c>
      <c r="H20" s="263" t="s">
        <v>356</v>
      </c>
      <c r="I20" s="264" t="s">
        <v>211</v>
      </c>
      <c r="J20" s="275" t="s">
        <v>1255</v>
      </c>
      <c r="K20" s="275" t="s">
        <v>1256</v>
      </c>
      <c r="L20" s="276" t="s">
        <v>1257</v>
      </c>
      <c r="N20" s="263" t="s">
        <v>1389</v>
      </c>
      <c r="O20" s="264" t="s">
        <v>211</v>
      </c>
      <c r="P20" s="275" t="s">
        <v>1255</v>
      </c>
      <c r="Q20" s="275" t="s">
        <v>1256</v>
      </c>
      <c r="R20" s="276" t="s">
        <v>1257</v>
      </c>
      <c r="T20" s="263" t="s">
        <v>80</v>
      </c>
      <c r="U20" s="264" t="s">
        <v>211</v>
      </c>
      <c r="V20" s="275" t="s">
        <v>1255</v>
      </c>
      <c r="W20" s="275" t="s">
        <v>1256</v>
      </c>
      <c r="X20" s="276" t="s">
        <v>1257</v>
      </c>
    </row>
    <row r="21" spans="2:24" ht="16.3" thickBot="1" x14ac:dyDescent="0.5">
      <c r="B21" s="267" t="s">
        <v>217</v>
      </c>
      <c r="C21" s="255" t="s">
        <v>1275</v>
      </c>
      <c r="D21" s="275" t="s">
        <v>1262</v>
      </c>
      <c r="E21" s="275" t="s">
        <v>1263</v>
      </c>
      <c r="F21" s="276" t="s">
        <v>1264</v>
      </c>
      <c r="H21" s="267" t="s">
        <v>1410</v>
      </c>
      <c r="I21" s="255" t="s">
        <v>212</v>
      </c>
      <c r="J21" s="275" t="s">
        <v>1262</v>
      </c>
      <c r="K21" s="275" t="s">
        <v>1263</v>
      </c>
      <c r="L21" s="276" t="s">
        <v>1264</v>
      </c>
      <c r="N21" s="267" t="s">
        <v>1392</v>
      </c>
      <c r="O21" s="255" t="s">
        <v>1275</v>
      </c>
      <c r="P21" s="275" t="s">
        <v>1262</v>
      </c>
      <c r="Q21" s="275" t="s">
        <v>1263</v>
      </c>
      <c r="R21" s="276" t="s">
        <v>1264</v>
      </c>
      <c r="T21" s="267" t="s">
        <v>217</v>
      </c>
      <c r="U21" s="255" t="s">
        <v>1275</v>
      </c>
      <c r="V21" s="275" t="s">
        <v>1262</v>
      </c>
      <c r="W21" s="275" t="s">
        <v>1263</v>
      </c>
      <c r="X21" s="276" t="s">
        <v>1264</v>
      </c>
    </row>
    <row r="22" spans="2:24" ht="16.3" thickBot="1" x14ac:dyDescent="0.5">
      <c r="B22" s="268" t="s">
        <v>208</v>
      </c>
      <c r="C22" s="269" t="s">
        <v>1276</v>
      </c>
      <c r="D22" s="275" t="s">
        <v>1249</v>
      </c>
      <c r="E22" s="275" t="s">
        <v>1245</v>
      </c>
      <c r="F22" s="276" t="s">
        <v>1250</v>
      </c>
      <c r="H22" s="268" t="s">
        <v>208</v>
      </c>
      <c r="I22" s="269" t="s">
        <v>213</v>
      </c>
      <c r="J22" s="275" t="s">
        <v>1249</v>
      </c>
      <c r="K22" s="275" t="s">
        <v>1245</v>
      </c>
      <c r="L22" s="276" t="s">
        <v>1250</v>
      </c>
      <c r="N22" s="268" t="s">
        <v>208</v>
      </c>
      <c r="O22" s="269" t="s">
        <v>1276</v>
      </c>
      <c r="P22" s="275" t="s">
        <v>1249</v>
      </c>
      <c r="Q22" s="275" t="s">
        <v>1245</v>
      </c>
      <c r="R22" s="276" t="s">
        <v>1250</v>
      </c>
      <c r="T22" s="268" t="s">
        <v>208</v>
      </c>
      <c r="U22" s="269" t="s">
        <v>1276</v>
      </c>
      <c r="V22" s="275" t="s">
        <v>1249</v>
      </c>
      <c r="W22" s="275" t="s">
        <v>1245</v>
      </c>
      <c r="X22" s="276" t="s">
        <v>1250</v>
      </c>
    </row>
    <row r="23" spans="2:24" ht="16.3" thickBot="1" x14ac:dyDescent="0.5">
      <c r="B23" s="263" t="s">
        <v>81</v>
      </c>
      <c r="C23" s="264" t="s">
        <v>211</v>
      </c>
      <c r="D23" s="275" t="s">
        <v>1266</v>
      </c>
      <c r="E23" s="275" t="s">
        <v>1267</v>
      </c>
      <c r="F23" s="276" t="s">
        <v>1268</v>
      </c>
      <c r="H23" s="263" t="s">
        <v>357</v>
      </c>
      <c r="I23" s="264" t="s">
        <v>211</v>
      </c>
      <c r="J23" s="275" t="s">
        <v>1266</v>
      </c>
      <c r="K23" s="275" t="s">
        <v>1267</v>
      </c>
      <c r="L23" s="276" t="s">
        <v>1268</v>
      </c>
      <c r="N23" s="263" t="s">
        <v>1390</v>
      </c>
      <c r="O23" s="264" t="s">
        <v>211</v>
      </c>
      <c r="P23" s="275" t="s">
        <v>1266</v>
      </c>
      <c r="Q23" s="275" t="s">
        <v>1267</v>
      </c>
      <c r="R23" s="276" t="s">
        <v>1268</v>
      </c>
      <c r="T23" s="263" t="s">
        <v>81</v>
      </c>
      <c r="U23" s="264" t="s">
        <v>211</v>
      </c>
      <c r="V23" s="275" t="s">
        <v>1266</v>
      </c>
      <c r="W23" s="275" t="s">
        <v>1267</v>
      </c>
      <c r="X23" s="276" t="s">
        <v>1268</v>
      </c>
    </row>
    <row r="24" spans="2:24" ht="16.3" thickBot="1" x14ac:dyDescent="0.5">
      <c r="B24" s="267" t="s">
        <v>216</v>
      </c>
      <c r="C24" s="255" t="s">
        <v>1275</v>
      </c>
      <c r="D24" s="275" t="s">
        <v>1274</v>
      </c>
      <c r="E24" s="275" t="s">
        <v>1252</v>
      </c>
      <c r="F24" s="276" t="s">
        <v>1250</v>
      </c>
      <c r="H24" s="267" t="s">
        <v>1411</v>
      </c>
      <c r="I24" s="255" t="s">
        <v>212</v>
      </c>
      <c r="J24" s="275" t="s">
        <v>1274</v>
      </c>
      <c r="K24" s="275" t="s">
        <v>1252</v>
      </c>
      <c r="L24" s="276" t="s">
        <v>1250</v>
      </c>
      <c r="N24" s="267" t="s">
        <v>1393</v>
      </c>
      <c r="O24" s="255" t="s">
        <v>1275</v>
      </c>
      <c r="P24" s="275" t="s">
        <v>1274</v>
      </c>
      <c r="Q24" s="275" t="s">
        <v>1252</v>
      </c>
      <c r="R24" s="276" t="s">
        <v>1250</v>
      </c>
      <c r="T24" s="267" t="s">
        <v>216</v>
      </c>
      <c r="U24" s="255" t="s">
        <v>1275</v>
      </c>
      <c r="V24" s="275" t="s">
        <v>1274</v>
      </c>
      <c r="W24" s="275" t="s">
        <v>1252</v>
      </c>
      <c r="X24" s="276" t="s">
        <v>1250</v>
      </c>
    </row>
    <row r="25" spans="2:24" ht="16.3" thickBot="1" x14ac:dyDescent="0.5">
      <c r="B25" s="268" t="s">
        <v>209</v>
      </c>
      <c r="C25" s="269" t="s">
        <v>1276</v>
      </c>
      <c r="D25" s="277" t="s">
        <v>1249</v>
      </c>
      <c r="E25" s="277" t="s">
        <v>1245</v>
      </c>
      <c r="F25" s="278" t="s">
        <v>1250</v>
      </c>
      <c r="H25" s="268" t="s">
        <v>209</v>
      </c>
      <c r="I25" s="269" t="s">
        <v>213</v>
      </c>
      <c r="J25" s="277" t="s">
        <v>1249</v>
      </c>
      <c r="K25" s="277" t="s">
        <v>1245</v>
      </c>
      <c r="L25" s="278" t="s">
        <v>1250</v>
      </c>
      <c r="N25" s="268" t="s">
        <v>209</v>
      </c>
      <c r="O25" s="269" t="s">
        <v>1276</v>
      </c>
      <c r="P25" s="277" t="s">
        <v>1249</v>
      </c>
      <c r="Q25" s="277" t="s">
        <v>1245</v>
      </c>
      <c r="R25" s="278" t="s">
        <v>1250</v>
      </c>
      <c r="T25" s="268" t="s">
        <v>209</v>
      </c>
      <c r="U25" s="269" t="s">
        <v>1276</v>
      </c>
      <c r="V25" s="277" t="s">
        <v>1249</v>
      </c>
      <c r="W25" s="277" t="s">
        <v>1245</v>
      </c>
      <c r="X25" s="278" t="s">
        <v>1250</v>
      </c>
    </row>
    <row r="26" spans="2:24" ht="4" customHeight="1" thickBot="1" x14ac:dyDescent="0.5"/>
    <row r="27" spans="2:24" ht="16.3" thickBot="1" x14ac:dyDescent="0.5">
      <c r="D27" s="279" t="s">
        <v>215</v>
      </c>
      <c r="E27" s="280"/>
      <c r="F27" s="281"/>
      <c r="J27" s="279" t="s">
        <v>1413</v>
      </c>
      <c r="K27" s="280"/>
      <c r="L27" s="281"/>
      <c r="P27" s="279" t="s">
        <v>1394</v>
      </c>
      <c r="Q27" s="280"/>
      <c r="R27" s="281"/>
      <c r="V27" s="279" t="s">
        <v>215</v>
      </c>
      <c r="W27" s="280"/>
      <c r="X27" s="281"/>
    </row>
    <row r="28" spans="2:24" ht="16.3" thickBot="1" x14ac:dyDescent="0.5">
      <c r="B28" s="261" t="s">
        <v>210</v>
      </c>
      <c r="C28" s="262" t="s">
        <v>175</v>
      </c>
      <c r="D28" s="288">
        <v>15</v>
      </c>
      <c r="E28" s="288">
        <v>13</v>
      </c>
      <c r="F28" s="288">
        <v>11</v>
      </c>
      <c r="H28" s="261" t="s">
        <v>1412</v>
      </c>
      <c r="I28" s="262" t="s">
        <v>175</v>
      </c>
      <c r="J28" s="288">
        <v>15</v>
      </c>
      <c r="K28" s="288">
        <v>13</v>
      </c>
      <c r="L28" s="288">
        <v>11</v>
      </c>
      <c r="N28" s="261" t="s">
        <v>1387</v>
      </c>
      <c r="O28" s="262" t="s">
        <v>175</v>
      </c>
      <c r="P28" s="288">
        <v>15</v>
      </c>
      <c r="Q28" s="288">
        <v>13</v>
      </c>
      <c r="R28" s="288">
        <v>11</v>
      </c>
      <c r="T28" s="261" t="s">
        <v>210</v>
      </c>
      <c r="U28" s="262" t="s">
        <v>175</v>
      </c>
      <c r="V28" s="288">
        <v>15</v>
      </c>
      <c r="W28" s="288">
        <v>13</v>
      </c>
      <c r="X28" s="288">
        <v>11</v>
      </c>
    </row>
    <row r="29" spans="2:24" ht="16.3" thickBot="1" x14ac:dyDescent="0.5">
      <c r="B29" s="263" t="s">
        <v>79</v>
      </c>
      <c r="C29" s="264" t="s">
        <v>211</v>
      </c>
      <c r="D29" s="282" t="s">
        <v>1237</v>
      </c>
      <c r="E29" s="282" t="s">
        <v>1238</v>
      </c>
      <c r="F29" s="283" t="s">
        <v>1239</v>
      </c>
      <c r="H29" s="263" t="s">
        <v>355</v>
      </c>
      <c r="I29" s="264" t="s">
        <v>211</v>
      </c>
      <c r="J29" s="282" t="s">
        <v>1237</v>
      </c>
      <c r="K29" s="282" t="s">
        <v>1238</v>
      </c>
      <c r="L29" s="283" t="s">
        <v>1239</v>
      </c>
      <c r="N29" s="263" t="s">
        <v>1388</v>
      </c>
      <c r="O29" s="264" t="s">
        <v>211</v>
      </c>
      <c r="P29" s="282" t="s">
        <v>1237</v>
      </c>
      <c r="Q29" s="282" t="s">
        <v>1238</v>
      </c>
      <c r="R29" s="283" t="s">
        <v>1239</v>
      </c>
      <c r="T29" s="263" t="s">
        <v>79</v>
      </c>
      <c r="U29" s="264" t="s">
        <v>211</v>
      </c>
      <c r="V29" s="282" t="s">
        <v>1237</v>
      </c>
      <c r="W29" s="282" t="s">
        <v>1238</v>
      </c>
      <c r="X29" s="283" t="s">
        <v>1239</v>
      </c>
    </row>
    <row r="30" spans="2:24" ht="16.3" thickBot="1" x14ac:dyDescent="0.5">
      <c r="B30" s="267" t="s">
        <v>218</v>
      </c>
      <c r="C30" s="255" t="s">
        <v>1275</v>
      </c>
      <c r="D30" s="282" t="s">
        <v>1243</v>
      </c>
      <c r="E30" s="282" t="s">
        <v>1244</v>
      </c>
      <c r="F30" s="283" t="s">
        <v>1245</v>
      </c>
      <c r="H30" s="267" t="s">
        <v>1409</v>
      </c>
      <c r="I30" s="255" t="s">
        <v>212</v>
      </c>
      <c r="J30" s="282" t="s">
        <v>1243</v>
      </c>
      <c r="K30" s="282" t="s">
        <v>1244</v>
      </c>
      <c r="L30" s="283" t="s">
        <v>1245</v>
      </c>
      <c r="N30" s="267" t="s">
        <v>1391</v>
      </c>
      <c r="O30" s="255" t="s">
        <v>1275</v>
      </c>
      <c r="P30" s="282" t="s">
        <v>1243</v>
      </c>
      <c r="Q30" s="282" t="s">
        <v>1244</v>
      </c>
      <c r="R30" s="283" t="s">
        <v>1245</v>
      </c>
      <c r="T30" s="267" t="s">
        <v>218</v>
      </c>
      <c r="U30" s="255" t="s">
        <v>1275</v>
      </c>
      <c r="V30" s="282" t="s">
        <v>1243</v>
      </c>
      <c r="W30" s="282" t="s">
        <v>1244</v>
      </c>
      <c r="X30" s="283" t="s">
        <v>1245</v>
      </c>
    </row>
    <row r="31" spans="2:24" ht="16.3" thickBot="1" x14ac:dyDescent="0.5">
      <c r="B31" s="268" t="s">
        <v>207</v>
      </c>
      <c r="C31" s="269" t="s">
        <v>1276</v>
      </c>
      <c r="D31" s="282" t="s">
        <v>1251</v>
      </c>
      <c r="E31" s="282" t="s">
        <v>1252</v>
      </c>
      <c r="F31" s="283" t="s">
        <v>1248</v>
      </c>
      <c r="H31" s="268" t="s">
        <v>207</v>
      </c>
      <c r="I31" s="269" t="s">
        <v>213</v>
      </c>
      <c r="J31" s="282" t="s">
        <v>1251</v>
      </c>
      <c r="K31" s="282" t="s">
        <v>1252</v>
      </c>
      <c r="L31" s="283" t="s">
        <v>1248</v>
      </c>
      <c r="N31" s="268" t="s">
        <v>207</v>
      </c>
      <c r="O31" s="269" t="s">
        <v>1276</v>
      </c>
      <c r="P31" s="282" t="s">
        <v>1251</v>
      </c>
      <c r="Q31" s="282" t="s">
        <v>1252</v>
      </c>
      <c r="R31" s="283" t="s">
        <v>1248</v>
      </c>
      <c r="T31" s="268" t="s">
        <v>207</v>
      </c>
      <c r="U31" s="269" t="s">
        <v>1276</v>
      </c>
      <c r="V31" s="282" t="s">
        <v>1251</v>
      </c>
      <c r="W31" s="282" t="s">
        <v>1252</v>
      </c>
      <c r="X31" s="283" t="s">
        <v>1248</v>
      </c>
    </row>
    <row r="32" spans="2:24" ht="16.3" thickBot="1" x14ac:dyDescent="0.5">
      <c r="B32" s="263" t="s">
        <v>80</v>
      </c>
      <c r="C32" s="264" t="s">
        <v>211</v>
      </c>
      <c r="D32" s="282" t="s">
        <v>1258</v>
      </c>
      <c r="E32" s="282" t="s">
        <v>1233</v>
      </c>
      <c r="F32" s="283" t="s">
        <v>1238</v>
      </c>
      <c r="H32" s="263" t="s">
        <v>356</v>
      </c>
      <c r="I32" s="264" t="s">
        <v>211</v>
      </c>
      <c r="J32" s="282" t="s">
        <v>1258</v>
      </c>
      <c r="K32" s="282" t="s">
        <v>1233</v>
      </c>
      <c r="L32" s="283" t="s">
        <v>1238</v>
      </c>
      <c r="N32" s="263" t="s">
        <v>1389</v>
      </c>
      <c r="O32" s="264" t="s">
        <v>211</v>
      </c>
      <c r="P32" s="282" t="s">
        <v>1258</v>
      </c>
      <c r="Q32" s="282" t="s">
        <v>1233</v>
      </c>
      <c r="R32" s="283" t="s">
        <v>1238</v>
      </c>
      <c r="T32" s="263" t="s">
        <v>80</v>
      </c>
      <c r="U32" s="264" t="s">
        <v>211</v>
      </c>
      <c r="V32" s="282" t="s">
        <v>1258</v>
      </c>
      <c r="W32" s="282" t="s">
        <v>1233</v>
      </c>
      <c r="X32" s="283" t="s">
        <v>1238</v>
      </c>
    </row>
    <row r="33" spans="2:24" ht="16.3" thickBot="1" x14ac:dyDescent="0.5">
      <c r="B33" s="267" t="s">
        <v>217</v>
      </c>
      <c r="C33" s="255" t="s">
        <v>1275</v>
      </c>
      <c r="D33" s="282" t="s">
        <v>1262</v>
      </c>
      <c r="E33" s="282" t="s">
        <v>1263</v>
      </c>
      <c r="F33" s="283" t="s">
        <v>1264</v>
      </c>
      <c r="H33" s="267" t="s">
        <v>1410</v>
      </c>
      <c r="I33" s="255" t="s">
        <v>212</v>
      </c>
      <c r="J33" s="282" t="s">
        <v>1262</v>
      </c>
      <c r="K33" s="282" t="s">
        <v>1263</v>
      </c>
      <c r="L33" s="283" t="s">
        <v>1264</v>
      </c>
      <c r="N33" s="267" t="s">
        <v>1392</v>
      </c>
      <c r="O33" s="255" t="s">
        <v>1275</v>
      </c>
      <c r="P33" s="282" t="s">
        <v>1262</v>
      </c>
      <c r="Q33" s="282" t="s">
        <v>1263</v>
      </c>
      <c r="R33" s="283" t="s">
        <v>1264</v>
      </c>
      <c r="T33" s="267" t="s">
        <v>217</v>
      </c>
      <c r="U33" s="255" t="s">
        <v>1275</v>
      </c>
      <c r="V33" s="282" t="s">
        <v>1262</v>
      </c>
      <c r="W33" s="282" t="s">
        <v>1263</v>
      </c>
      <c r="X33" s="283" t="s">
        <v>1264</v>
      </c>
    </row>
    <row r="34" spans="2:24" ht="16.3" thickBot="1" x14ac:dyDescent="0.5">
      <c r="B34" s="268" t="s">
        <v>208</v>
      </c>
      <c r="C34" s="269" t="s">
        <v>1276</v>
      </c>
      <c r="D34" s="282" t="s">
        <v>1251</v>
      </c>
      <c r="E34" s="282" t="s">
        <v>1252</v>
      </c>
      <c r="F34" s="283" t="s">
        <v>1248</v>
      </c>
      <c r="H34" s="268" t="s">
        <v>208</v>
      </c>
      <c r="I34" s="269" t="s">
        <v>213</v>
      </c>
      <c r="J34" s="282" t="s">
        <v>1251</v>
      </c>
      <c r="K34" s="282" t="s">
        <v>1252</v>
      </c>
      <c r="L34" s="283" t="s">
        <v>1248</v>
      </c>
      <c r="N34" s="268" t="s">
        <v>208</v>
      </c>
      <c r="O34" s="269" t="s">
        <v>1276</v>
      </c>
      <c r="P34" s="282" t="s">
        <v>1251</v>
      </c>
      <c r="Q34" s="282" t="s">
        <v>1252</v>
      </c>
      <c r="R34" s="283" t="s">
        <v>1248</v>
      </c>
      <c r="T34" s="268" t="s">
        <v>208</v>
      </c>
      <c r="U34" s="269" t="s">
        <v>1276</v>
      </c>
      <c r="V34" s="282" t="s">
        <v>1251</v>
      </c>
      <c r="W34" s="282" t="s">
        <v>1252</v>
      </c>
      <c r="X34" s="283" t="s">
        <v>1248</v>
      </c>
    </row>
    <row r="35" spans="2:24" ht="16.3" thickBot="1" x14ac:dyDescent="0.5">
      <c r="B35" s="263" t="s">
        <v>81</v>
      </c>
      <c r="C35" s="264" t="s">
        <v>211</v>
      </c>
      <c r="D35" s="282" t="s">
        <v>1269</v>
      </c>
      <c r="E35" s="282" t="s">
        <v>1270</v>
      </c>
      <c r="F35" s="283" t="s">
        <v>1239</v>
      </c>
      <c r="H35" s="263" t="s">
        <v>357</v>
      </c>
      <c r="I35" s="264" t="s">
        <v>211</v>
      </c>
      <c r="J35" s="282" t="s">
        <v>1269</v>
      </c>
      <c r="K35" s="282" t="s">
        <v>1270</v>
      </c>
      <c r="L35" s="283" t="s">
        <v>1239</v>
      </c>
      <c r="N35" s="263" t="s">
        <v>1390</v>
      </c>
      <c r="O35" s="264" t="s">
        <v>211</v>
      </c>
      <c r="P35" s="282" t="s">
        <v>1269</v>
      </c>
      <c r="Q35" s="282" t="s">
        <v>1270</v>
      </c>
      <c r="R35" s="283" t="s">
        <v>1239</v>
      </c>
      <c r="T35" s="263" t="s">
        <v>81</v>
      </c>
      <c r="U35" s="264" t="s">
        <v>211</v>
      </c>
      <c r="V35" s="282" t="s">
        <v>1269</v>
      </c>
      <c r="W35" s="282" t="s">
        <v>1270</v>
      </c>
      <c r="X35" s="283" t="s">
        <v>1239</v>
      </c>
    </row>
    <row r="36" spans="2:24" ht="16.3" thickBot="1" x14ac:dyDescent="0.5">
      <c r="B36" s="267" t="s">
        <v>216</v>
      </c>
      <c r="C36" s="255" t="s">
        <v>1275</v>
      </c>
      <c r="D36" s="282" t="s">
        <v>1274</v>
      </c>
      <c r="E36" s="282" t="s">
        <v>1252</v>
      </c>
      <c r="F36" s="283" t="s">
        <v>1250</v>
      </c>
      <c r="H36" s="267" t="s">
        <v>1411</v>
      </c>
      <c r="I36" s="255" t="s">
        <v>212</v>
      </c>
      <c r="J36" s="282" t="s">
        <v>1274</v>
      </c>
      <c r="K36" s="282" t="s">
        <v>1252</v>
      </c>
      <c r="L36" s="283" t="s">
        <v>1250</v>
      </c>
      <c r="N36" s="267" t="s">
        <v>1393</v>
      </c>
      <c r="O36" s="255" t="s">
        <v>1275</v>
      </c>
      <c r="P36" s="282" t="s">
        <v>1274</v>
      </c>
      <c r="Q36" s="282" t="s">
        <v>1252</v>
      </c>
      <c r="R36" s="283" t="s">
        <v>1250</v>
      </c>
      <c r="T36" s="267" t="s">
        <v>216</v>
      </c>
      <c r="U36" s="255" t="s">
        <v>1275</v>
      </c>
      <c r="V36" s="282" t="s">
        <v>1274</v>
      </c>
      <c r="W36" s="282" t="s">
        <v>1252</v>
      </c>
      <c r="X36" s="283" t="s">
        <v>1250</v>
      </c>
    </row>
    <row r="37" spans="2:24" ht="16.3" thickBot="1" x14ac:dyDescent="0.5">
      <c r="B37" s="268" t="s">
        <v>209</v>
      </c>
      <c r="C37" s="269" t="s">
        <v>1276</v>
      </c>
      <c r="D37" s="284" t="s">
        <v>1251</v>
      </c>
      <c r="E37" s="284" t="s">
        <v>1252</v>
      </c>
      <c r="F37" s="285" t="s">
        <v>1248</v>
      </c>
      <c r="H37" s="268" t="s">
        <v>209</v>
      </c>
      <c r="I37" s="269" t="s">
        <v>213</v>
      </c>
      <c r="J37" s="284" t="s">
        <v>1251</v>
      </c>
      <c r="K37" s="284" t="s">
        <v>1252</v>
      </c>
      <c r="L37" s="285" t="s">
        <v>1248</v>
      </c>
      <c r="N37" s="268" t="s">
        <v>209</v>
      </c>
      <c r="O37" s="269" t="s">
        <v>1276</v>
      </c>
      <c r="P37" s="284" t="s">
        <v>1251</v>
      </c>
      <c r="Q37" s="284" t="s">
        <v>1252</v>
      </c>
      <c r="R37" s="285" t="s">
        <v>1248</v>
      </c>
      <c r="T37" s="268" t="s">
        <v>209</v>
      </c>
      <c r="U37" s="269" t="s">
        <v>1276</v>
      </c>
      <c r="V37" s="284" t="s">
        <v>1251</v>
      </c>
      <c r="W37" s="284" t="s">
        <v>1252</v>
      </c>
      <c r="X37" s="285" t="s">
        <v>1248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095-34F6-42DA-9792-E6601EA3626D}">
  <sheetPr codeName="Tabelle9"/>
  <dimension ref="A1:C42"/>
  <sheetViews>
    <sheetView zoomScaleNormal="100" workbookViewId="0">
      <selection activeCell="B32" sqref="B32"/>
    </sheetView>
  </sheetViews>
  <sheetFormatPr baseColWidth="10" defaultColWidth="10.640625" defaultRowHeight="15.9" x14ac:dyDescent="0.45"/>
  <cols>
    <col min="1" max="1" width="12.7109375" style="297" customWidth="1"/>
    <col min="2" max="2" width="94.7109375" style="297" customWidth="1"/>
    <col min="3" max="16384" width="10.640625" style="297"/>
  </cols>
  <sheetData>
    <row r="1" spans="1:3" x14ac:dyDescent="0.45">
      <c r="A1" s="298" t="s">
        <v>1304</v>
      </c>
      <c r="B1" s="299" t="s">
        <v>1305</v>
      </c>
      <c r="C1" s="299" t="s">
        <v>1306</v>
      </c>
    </row>
    <row r="2" spans="1:3" x14ac:dyDescent="0.45">
      <c r="A2" s="300">
        <v>44204</v>
      </c>
      <c r="B2" s="296" t="s">
        <v>1299</v>
      </c>
      <c r="C2" s="296" t="s">
        <v>1310</v>
      </c>
    </row>
    <row r="3" spans="1:3" x14ac:dyDescent="0.45">
      <c r="A3" s="300">
        <v>44204</v>
      </c>
      <c r="B3" s="296" t="s">
        <v>1300</v>
      </c>
      <c r="C3" s="296" t="s">
        <v>1310</v>
      </c>
    </row>
    <row r="4" spans="1:3" x14ac:dyDescent="0.45">
      <c r="A4" s="300">
        <v>44204</v>
      </c>
      <c r="B4" s="296" t="s">
        <v>1301</v>
      </c>
      <c r="C4" s="296" t="s">
        <v>1310</v>
      </c>
    </row>
    <row r="5" spans="1:3" x14ac:dyDescent="0.45">
      <c r="A5" s="300">
        <v>44204</v>
      </c>
      <c r="B5" s="296" t="s">
        <v>1302</v>
      </c>
      <c r="C5" s="296" t="s">
        <v>1310</v>
      </c>
    </row>
    <row r="6" spans="1:3" x14ac:dyDescent="0.45">
      <c r="A6" s="300">
        <v>44204</v>
      </c>
      <c r="B6" s="296" t="s">
        <v>1303</v>
      </c>
      <c r="C6" s="296" t="s">
        <v>1310</v>
      </c>
    </row>
    <row r="7" spans="1:3" x14ac:dyDescent="0.45">
      <c r="A7" s="300">
        <v>44204</v>
      </c>
      <c r="B7" s="296" t="s">
        <v>1318</v>
      </c>
      <c r="C7" s="296" t="s">
        <v>1310</v>
      </c>
    </row>
    <row r="8" spans="1:3" x14ac:dyDescent="0.45">
      <c r="A8" s="300">
        <v>44208</v>
      </c>
      <c r="B8" s="296" t="s">
        <v>1325</v>
      </c>
      <c r="C8" s="296" t="s">
        <v>1310</v>
      </c>
    </row>
    <row r="9" spans="1:3" x14ac:dyDescent="0.45">
      <c r="A9" s="300">
        <v>44208</v>
      </c>
      <c r="B9" s="296" t="s">
        <v>1330</v>
      </c>
      <c r="C9" s="296" t="s">
        <v>1310</v>
      </c>
    </row>
    <row r="10" spans="1:3" x14ac:dyDescent="0.45">
      <c r="A10" s="300">
        <v>44208</v>
      </c>
      <c r="B10" s="296" t="s">
        <v>1322</v>
      </c>
      <c r="C10" s="296" t="s">
        <v>1310</v>
      </c>
    </row>
    <row r="11" spans="1:3" x14ac:dyDescent="0.45">
      <c r="A11" s="300">
        <v>44210</v>
      </c>
      <c r="B11" s="296" t="s">
        <v>1334</v>
      </c>
      <c r="C11" s="296" t="s">
        <v>1310</v>
      </c>
    </row>
    <row r="12" spans="1:3" x14ac:dyDescent="0.45">
      <c r="A12" s="300">
        <v>44210</v>
      </c>
      <c r="B12" s="296" t="s">
        <v>1333</v>
      </c>
      <c r="C12" s="296" t="s">
        <v>1310</v>
      </c>
    </row>
    <row r="13" spans="1:3" x14ac:dyDescent="0.45">
      <c r="A13" s="300">
        <v>44211</v>
      </c>
      <c r="B13" s="296" t="s">
        <v>1340</v>
      </c>
      <c r="C13" s="296" t="s">
        <v>1310</v>
      </c>
    </row>
    <row r="14" spans="1:3" x14ac:dyDescent="0.45">
      <c r="A14" s="300">
        <v>44215</v>
      </c>
      <c r="B14" s="296" t="s">
        <v>1341</v>
      </c>
      <c r="C14" s="296" t="s">
        <v>1310</v>
      </c>
    </row>
    <row r="15" spans="1:3" x14ac:dyDescent="0.45">
      <c r="A15" s="300">
        <v>44221</v>
      </c>
      <c r="B15" s="296" t="s">
        <v>1348</v>
      </c>
      <c r="C15" s="296" t="s">
        <v>1310</v>
      </c>
    </row>
    <row r="16" spans="1:3" x14ac:dyDescent="0.45">
      <c r="A16" s="300">
        <v>44222</v>
      </c>
      <c r="B16" s="296" t="s">
        <v>1348</v>
      </c>
      <c r="C16" s="296" t="s">
        <v>1310</v>
      </c>
    </row>
    <row r="17" spans="1:3" x14ac:dyDescent="0.45">
      <c r="A17" s="300">
        <v>44244</v>
      </c>
      <c r="B17" s="296" t="s">
        <v>1403</v>
      </c>
      <c r="C17" s="296" t="s">
        <v>1310</v>
      </c>
    </row>
    <row r="18" spans="1:3" x14ac:dyDescent="0.45">
      <c r="A18" s="321">
        <v>44245</v>
      </c>
      <c r="B18" s="297" t="s">
        <v>1405</v>
      </c>
      <c r="C18" s="296" t="s">
        <v>1310</v>
      </c>
    </row>
    <row r="19" spans="1:3" x14ac:dyDescent="0.45">
      <c r="A19" s="300">
        <v>44245</v>
      </c>
      <c r="B19" s="296" t="s">
        <v>1404</v>
      </c>
      <c r="C19" s="296" t="s">
        <v>1310</v>
      </c>
    </row>
    <row r="20" spans="1:3" x14ac:dyDescent="0.45">
      <c r="A20" s="300">
        <v>44250</v>
      </c>
      <c r="B20" s="296" t="s">
        <v>1424</v>
      </c>
      <c r="C20" s="296" t="s">
        <v>1310</v>
      </c>
    </row>
    <row r="21" spans="1:3" x14ac:dyDescent="0.45">
      <c r="A21" s="300">
        <v>44250</v>
      </c>
      <c r="B21" s="296" t="s">
        <v>1425</v>
      </c>
      <c r="C21" s="296" t="s">
        <v>1310</v>
      </c>
    </row>
    <row r="22" spans="1:3" x14ac:dyDescent="0.45">
      <c r="A22" s="300">
        <v>44274</v>
      </c>
      <c r="B22" s="296" t="s">
        <v>1426</v>
      </c>
      <c r="C22" s="296" t="s">
        <v>1310</v>
      </c>
    </row>
    <row r="23" spans="1:3" x14ac:dyDescent="0.45">
      <c r="A23" s="300">
        <v>44274</v>
      </c>
      <c r="B23" s="296" t="s">
        <v>1427</v>
      </c>
      <c r="C23" s="296" t="s">
        <v>1310</v>
      </c>
    </row>
    <row r="24" spans="1:3" x14ac:dyDescent="0.45">
      <c r="A24" s="300">
        <v>44456</v>
      </c>
      <c r="B24" s="296" t="s">
        <v>1432</v>
      </c>
      <c r="C24" s="296" t="s">
        <v>1310</v>
      </c>
    </row>
    <row r="25" spans="1:3" x14ac:dyDescent="0.45">
      <c r="A25" s="300">
        <v>44462</v>
      </c>
      <c r="B25" s="296" t="s">
        <v>1433</v>
      </c>
      <c r="C25" s="296" t="s">
        <v>1310</v>
      </c>
    </row>
    <row r="26" spans="1:3" x14ac:dyDescent="0.45">
      <c r="A26" s="300">
        <v>44462</v>
      </c>
      <c r="B26" s="296" t="s">
        <v>1435</v>
      </c>
      <c r="C26" s="296" t="s">
        <v>1310</v>
      </c>
    </row>
    <row r="27" spans="1:3" x14ac:dyDescent="0.45">
      <c r="A27" s="300">
        <v>44645</v>
      </c>
      <c r="B27" s="296" t="s">
        <v>1450</v>
      </c>
      <c r="C27" s="296" t="s">
        <v>1310</v>
      </c>
    </row>
    <row r="28" spans="1:3" x14ac:dyDescent="0.45">
      <c r="A28" s="300">
        <v>44664</v>
      </c>
      <c r="B28" s="296" t="s">
        <v>1451</v>
      </c>
      <c r="C28" s="296" t="s">
        <v>1310</v>
      </c>
    </row>
    <row r="29" spans="1:3" x14ac:dyDescent="0.45">
      <c r="A29" s="300">
        <v>45881</v>
      </c>
      <c r="B29" s="296" t="s">
        <v>1452</v>
      </c>
      <c r="C29" s="296" t="s">
        <v>1310</v>
      </c>
    </row>
    <row r="30" spans="1:3" x14ac:dyDescent="0.45">
      <c r="A30" s="300"/>
      <c r="B30" s="296"/>
      <c r="C30" s="296"/>
    </row>
    <row r="31" spans="1:3" x14ac:dyDescent="0.45">
      <c r="A31" s="300"/>
      <c r="B31" s="296"/>
      <c r="C31" s="296"/>
    </row>
    <row r="32" spans="1:3" x14ac:dyDescent="0.45">
      <c r="A32" s="300"/>
      <c r="B32" s="296"/>
      <c r="C32" s="296"/>
    </row>
    <row r="33" spans="1:3" x14ac:dyDescent="0.45">
      <c r="A33" s="300"/>
      <c r="B33" s="296"/>
      <c r="C33" s="296"/>
    </row>
    <row r="34" spans="1:3" x14ac:dyDescent="0.45">
      <c r="A34" s="300"/>
      <c r="B34" s="296"/>
      <c r="C34" s="296"/>
    </row>
    <row r="35" spans="1:3" x14ac:dyDescent="0.45">
      <c r="A35" s="300"/>
      <c r="B35" s="296"/>
      <c r="C35" s="296"/>
    </row>
    <row r="36" spans="1:3" x14ac:dyDescent="0.45">
      <c r="A36" s="300"/>
      <c r="B36" s="296"/>
      <c r="C36" s="296"/>
    </row>
    <row r="37" spans="1:3" x14ac:dyDescent="0.45">
      <c r="A37" s="300"/>
      <c r="B37" s="296"/>
      <c r="C37" s="296"/>
    </row>
    <row r="38" spans="1:3" x14ac:dyDescent="0.45">
      <c r="A38" s="300"/>
      <c r="B38" s="296"/>
      <c r="C38" s="296"/>
    </row>
    <row r="39" spans="1:3" x14ac:dyDescent="0.45">
      <c r="A39" s="321"/>
    </row>
    <row r="40" spans="1:3" x14ac:dyDescent="0.45">
      <c r="A40" s="297" t="s">
        <v>1423</v>
      </c>
    </row>
    <row r="41" spans="1:3" x14ac:dyDescent="0.45">
      <c r="A41" s="297" t="s">
        <v>1307</v>
      </c>
      <c r="B41" s="297" t="s">
        <v>1308</v>
      </c>
    </row>
    <row r="42" spans="1:3" x14ac:dyDescent="0.45">
      <c r="A42" s="297" t="s">
        <v>1307</v>
      </c>
      <c r="B42" s="297" t="s">
        <v>1309</v>
      </c>
    </row>
  </sheetData>
  <pageMargins left="0.7" right="0.7" top="0.78740157499999996" bottom="0.78740157499999996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FDF1B62F8EA24AB6F6E00E241F680C" ma:contentTypeVersion="13" ma:contentTypeDescription="Ein neues Dokument erstellen." ma:contentTypeScope="" ma:versionID="4292dcecbc77517232048db1955463f4">
  <xsd:schema xmlns:xsd="http://www.w3.org/2001/XMLSchema" xmlns:xs="http://www.w3.org/2001/XMLSchema" xmlns:p="http://schemas.microsoft.com/office/2006/metadata/properties" xmlns:ns2="49bc8a29-d30d-409d-903a-ff6ddf57c70c" xmlns:ns3="a84c1963-4ba8-42e7-8e1d-6824e8b04b58" targetNamespace="http://schemas.microsoft.com/office/2006/metadata/properties" ma:root="true" ma:fieldsID="26e27e5a7d9c4dedab158fd68409c0cf" ns2:_="" ns3:_="">
    <xsd:import namespace="49bc8a29-d30d-409d-903a-ff6ddf57c70c"/>
    <xsd:import namespace="a84c1963-4ba8-42e7-8e1d-6824e8b04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c8a29-d30d-409d-903a-ff6ddf57c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9e74854-b06b-45fd-a11e-3586cbe8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1963-4ba8-42e7-8e1d-6824e8b04b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4b7a3-fd02-4a68-ace7-8ef9f6f15465}" ma:internalName="TaxCatchAll" ma:showField="CatchAllData" ma:web="a84c1963-4ba8-42e7-8e1d-6824e8b04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c1963-4ba8-42e7-8e1d-6824e8b04b58" xsi:nil="true"/>
    <lcf76f155ced4ddcb4097134ff3c332f xmlns="49bc8a29-d30d-409d-903a-ff6ddf57c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1D4437-D927-4602-842D-C81170AA628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15DEF22-7030-440B-B267-ECD176F3EE7B}"/>
</file>

<file path=customXml/itemProps3.xml><?xml version="1.0" encoding="utf-8"?>
<ds:datastoreItem xmlns:ds="http://schemas.openxmlformats.org/officeDocument/2006/customXml" ds:itemID="{5D55D917-4CEE-44D7-B062-F4BA2CC0197E}"/>
</file>

<file path=customXml/itemProps4.xml><?xml version="1.0" encoding="utf-8"?>
<ds:datastoreItem xmlns:ds="http://schemas.openxmlformats.org/officeDocument/2006/customXml" ds:itemID="{F46E0AF2-8E56-4329-9234-180A2EAD589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Projektformular</vt:lpstr>
      <vt:lpstr>Text</vt:lpstr>
      <vt:lpstr>Kontrolle</vt:lpstr>
      <vt:lpstr>Berechnungen</vt:lpstr>
      <vt:lpstr>Dropdown</vt:lpstr>
      <vt:lpstr>Bilder</vt:lpstr>
      <vt:lpstr>Datenbank</vt:lpstr>
      <vt:lpstr>Leitfaden Anhang 3</vt:lpstr>
      <vt:lpstr>Logbuch</vt:lpstr>
      <vt:lpstr>Projektformular!Druckbereich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stefan.thalmann@verenum.ch</dc:creator>
  <cp:lastModifiedBy>Stefan Thalmann</cp:lastModifiedBy>
  <cp:lastPrinted>2022-03-25T08:30:36Z</cp:lastPrinted>
  <dcterms:created xsi:type="dcterms:W3CDTF">2012-09-07T12:38:45Z</dcterms:created>
  <dcterms:modified xsi:type="dcterms:W3CDTF">2025-08-12T09:22:24Z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0x0101007FFDF1B62F8EA24AB6F6E00E241F680C</vt:lpwstr>
  </property>
</Properties>
</file>